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ica.gonzalez\Desktop\"/>
    </mc:Choice>
  </mc:AlternateContent>
  <bookViews>
    <workbookView xWindow="0" yWindow="0" windowWidth="28800" windowHeight="12330" tabRatio="863"/>
  </bookViews>
  <sheets>
    <sheet name="Notas a los Edos Financieros" sheetId="1" r:id="rId1"/>
    <sheet name="ESF" sheetId="59" r:id="rId2"/>
    <sheet name="ACT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Print_Titles" localSheetId="2">ACT!$1:$6</definedName>
    <definedName name="_xlnm.Print_Titles" localSheetId="4">EFE!$1:$6</definedName>
    <definedName name="_xlnm.Print_Titles" localSheetId="1">ESF!$1:$6</definedName>
  </definedNames>
  <calcPr calcId="162913"/>
</workbook>
</file>

<file path=xl/calcChain.xml><?xml version="1.0" encoding="utf-8"?>
<calcChain xmlns="http://schemas.openxmlformats.org/spreadsheetml/2006/main">
  <c r="C6" i="64" l="1"/>
  <c r="C6" i="63"/>
  <c r="C97" i="62"/>
  <c r="D71" i="62"/>
  <c r="D69" i="62"/>
  <c r="C71" i="62"/>
  <c r="C69" i="62"/>
  <c r="D47" i="62"/>
  <c r="D42" i="62"/>
  <c r="D39" i="62"/>
  <c r="D12" i="62"/>
  <c r="C11" i="62"/>
  <c r="C195" i="60"/>
  <c r="C193" i="60"/>
  <c r="C128" i="60"/>
  <c r="C127" i="60"/>
  <c r="C124" i="60"/>
  <c r="C123" i="60"/>
  <c r="C122" i="60"/>
  <c r="C120" i="60"/>
  <c r="C118" i="60"/>
  <c r="C116" i="60"/>
  <c r="C115" i="60"/>
  <c r="C114" i="60"/>
  <c r="C113" i="60"/>
  <c r="C111" i="60"/>
  <c r="C110" i="60"/>
  <c r="C107" i="60"/>
  <c r="C105" i="60"/>
  <c r="C103" i="60"/>
  <c r="C68" i="60"/>
  <c r="C51" i="60"/>
  <c r="C37" i="60"/>
  <c r="C119" i="59"/>
  <c r="C114" i="59"/>
  <c r="D80" i="59"/>
  <c r="C80" i="59"/>
  <c r="E64" i="59"/>
  <c r="E69" i="59"/>
  <c r="D69" i="59"/>
  <c r="C69" i="59"/>
  <c r="C67" i="59"/>
  <c r="C66" i="59"/>
  <c r="C65" i="59"/>
  <c r="D25" i="59"/>
  <c r="C25" i="59"/>
  <c r="D22" i="59"/>
  <c r="C22" i="59"/>
  <c r="D17" i="59"/>
  <c r="C17" i="59"/>
  <c r="E48" i="65" l="1"/>
  <c r="E47" i="65"/>
  <c r="E46" i="65"/>
  <c r="E45" i="65"/>
  <c r="E44" i="65"/>
  <c r="E43" i="65"/>
  <c r="E42" i="65"/>
  <c r="E41" i="65"/>
  <c r="E39" i="65"/>
  <c r="E38" i="65"/>
  <c r="D49" i="65"/>
  <c r="D47" i="65"/>
  <c r="D48" i="65"/>
  <c r="D46" i="65"/>
  <c r="D45" i="65"/>
  <c r="D44" i="65"/>
  <c r="D41" i="65"/>
  <c r="D40" i="65"/>
  <c r="D39" i="65"/>
  <c r="D38" i="65"/>
  <c r="C32" i="64"/>
  <c r="C19" i="64"/>
  <c r="C12" i="64"/>
  <c r="C11" i="64"/>
  <c r="C47" i="62"/>
  <c r="C42" i="62"/>
  <c r="D31" i="62"/>
  <c r="C31" i="62"/>
  <c r="D30" i="62"/>
  <c r="C30" i="62"/>
  <c r="D11" i="62"/>
  <c r="C16" i="61"/>
  <c r="C126" i="60"/>
  <c r="C125" i="60"/>
  <c r="C121" i="60"/>
  <c r="C106" i="60"/>
  <c r="C104" i="60"/>
  <c r="C121" i="59"/>
  <c r="C77" i="59"/>
  <c r="C70" i="59"/>
  <c r="D64" i="59"/>
  <c r="D65" i="59"/>
  <c r="E49" i="65" l="1"/>
  <c r="D43" i="65"/>
  <c r="D42" i="65"/>
  <c r="C14" i="64"/>
  <c r="C111" i="62"/>
  <c r="C95" i="62"/>
  <c r="C64" i="62"/>
  <c r="D35" i="62"/>
  <c r="C35" i="62"/>
  <c r="D33" i="62"/>
  <c r="C33" i="62"/>
  <c r="C17" i="61"/>
  <c r="C140" i="60"/>
  <c r="C96" i="60"/>
  <c r="C113" i="59"/>
  <c r="C68" i="59"/>
  <c r="C61" i="59"/>
  <c r="C44" i="59"/>
  <c r="C112" i="59" l="1"/>
  <c r="C76" i="59"/>
  <c r="F49" i="65" l="1"/>
  <c r="F48" i="65"/>
  <c r="F47" i="65"/>
  <c r="F46" i="65"/>
  <c r="F45" i="65"/>
  <c r="F44" i="65"/>
  <c r="F43" i="65"/>
  <c r="F42" i="65"/>
  <c r="F41" i="65"/>
  <c r="F40" i="65"/>
  <c r="F39" i="65"/>
  <c r="F38" i="65"/>
  <c r="F36" i="65"/>
  <c r="F35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D10" i="62" l="1"/>
  <c r="D17" i="62" s="1"/>
  <c r="C10" i="62"/>
  <c r="C17" i="62" s="1"/>
  <c r="C109" i="60"/>
  <c r="C102" i="60"/>
  <c r="C48" i="60"/>
  <c r="C119" i="60" l="1"/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1" i="62" l="1"/>
  <c r="C21" i="62"/>
  <c r="D112" i="62" l="1"/>
  <c r="D109" i="62" s="1"/>
  <c r="C112" i="62"/>
  <c r="C109" i="62" s="1"/>
  <c r="D94" i="62"/>
  <c r="C94" i="62"/>
  <c r="D38" i="62"/>
  <c r="D29" i="62"/>
  <c r="D44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C98" i="59" l="1"/>
  <c r="D125" i="59" l="1"/>
  <c r="D124" i="59"/>
  <c r="D123" i="59"/>
  <c r="D121" i="59"/>
  <c r="D120" i="59"/>
  <c r="D119" i="59"/>
  <c r="D118" i="59"/>
  <c r="D117" i="59"/>
  <c r="D116" i="59"/>
  <c r="D115" i="59"/>
  <c r="D114" i="59"/>
  <c r="D113" i="59"/>
  <c r="C206" i="60" l="1"/>
  <c r="C43" i="59" l="1"/>
  <c r="C34" i="59"/>
  <c r="C11" i="60" l="1"/>
  <c r="C92" i="62" l="1"/>
  <c r="C91" i="62" s="1"/>
  <c r="C217" i="60"/>
  <c r="C216" i="60" s="1"/>
  <c r="C200" i="60"/>
  <c r="C197" i="60"/>
  <c r="C188" i="60"/>
  <c r="C184" i="60"/>
  <c r="C182" i="60"/>
  <c r="C179" i="60"/>
  <c r="C176" i="60"/>
  <c r="C173" i="60"/>
  <c r="C169" i="60"/>
  <c r="C166" i="60"/>
  <c r="C163" i="60"/>
  <c r="C159" i="60"/>
  <c r="C153" i="60"/>
  <c r="C151" i="60"/>
  <c r="C148" i="60"/>
  <c r="C144" i="60"/>
  <c r="C139" i="60"/>
  <c r="C136" i="60"/>
  <c r="C133" i="60"/>
  <c r="C130" i="60"/>
  <c r="C187" i="60" l="1"/>
  <c r="C162" i="60"/>
  <c r="C172" i="60"/>
  <c r="C129" i="60"/>
  <c r="C101" i="60"/>
  <c r="D82" i="62"/>
  <c r="C82" i="62"/>
  <c r="D76" i="62"/>
  <c r="C76" i="62"/>
  <c r="D73" i="62"/>
  <c r="C73" i="62"/>
  <c r="C63" i="62" s="1"/>
  <c r="D64" i="62"/>
  <c r="D63" i="62" s="1"/>
  <c r="D48" i="62" s="1"/>
  <c r="C38" i="62"/>
  <c r="C29" i="62"/>
  <c r="C27" i="61"/>
  <c r="C23" i="61"/>
  <c r="C18" i="61"/>
  <c r="C89" i="60"/>
  <c r="C87" i="60"/>
  <c r="C85" i="60"/>
  <c r="C79" i="60"/>
  <c r="C76" i="60"/>
  <c r="C67" i="60"/>
  <c r="C61" i="60"/>
  <c r="C39" i="60"/>
  <c r="C36" i="60"/>
  <c r="C30" i="60"/>
  <c r="C27" i="60"/>
  <c r="C21" i="60"/>
  <c r="C60" i="60" l="1"/>
  <c r="C48" i="62"/>
  <c r="C122" i="62" s="1"/>
  <c r="D122" i="62"/>
  <c r="C100" i="60"/>
  <c r="C44" i="62"/>
  <c r="C75" i="60"/>
  <c r="C148" i="59" l="1"/>
  <c r="C136" i="59"/>
  <c r="C129" i="59"/>
  <c r="G122" i="59"/>
  <c r="F122" i="59"/>
  <c r="E122" i="59"/>
  <c r="D122" i="59"/>
  <c r="C122" i="59"/>
  <c r="G112" i="59"/>
  <c r="F112" i="59"/>
  <c r="E112" i="59"/>
  <c r="D112" i="59"/>
  <c r="C105" i="59"/>
  <c r="C92" i="59"/>
  <c r="E82" i="59"/>
  <c r="D82" i="59"/>
  <c r="C82" i="59"/>
  <c r="C64" i="59"/>
  <c r="C56" i="59"/>
  <c r="C31" i="64" l="1"/>
  <c r="C8" i="64"/>
  <c r="C16" i="63"/>
  <c r="C8" i="63"/>
  <c r="C21" i="63" l="1"/>
  <c r="C38" i="64"/>
  <c r="D213" i="60" l="1"/>
  <c r="D209" i="60"/>
  <c r="D205" i="60"/>
  <c r="D201" i="60"/>
  <c r="D193" i="60"/>
  <c r="D189" i="60"/>
  <c r="D185" i="60"/>
  <c r="D181" i="60"/>
  <c r="D177" i="60"/>
  <c r="D165" i="60"/>
  <c r="D161" i="60"/>
  <c r="D157" i="60"/>
  <c r="D149" i="60"/>
  <c r="D145" i="60"/>
  <c r="D141" i="60"/>
  <c r="D137" i="60"/>
  <c r="D125" i="60"/>
  <c r="D121" i="60"/>
  <c r="D117" i="60"/>
  <c r="D113" i="60"/>
  <c r="D105" i="60"/>
  <c r="D211" i="60"/>
  <c r="D195" i="60"/>
  <c r="D171" i="60"/>
  <c r="D143" i="60"/>
  <c r="D135" i="60"/>
  <c r="D127" i="60"/>
  <c r="D111" i="60"/>
  <c r="D103" i="60"/>
  <c r="D214" i="60"/>
  <c r="D198" i="60"/>
  <c r="D190" i="60"/>
  <c r="D178" i="60"/>
  <c r="D170" i="60"/>
  <c r="D154" i="60"/>
  <c r="D146" i="60"/>
  <c r="D138" i="60"/>
  <c r="D122" i="60"/>
  <c r="D118" i="60"/>
  <c r="D110" i="60"/>
  <c r="D212" i="60"/>
  <c r="D208" i="60"/>
  <c r="D204" i="60"/>
  <c r="D196" i="60"/>
  <c r="D192" i="60"/>
  <c r="D180" i="60"/>
  <c r="D168" i="60"/>
  <c r="D164" i="60"/>
  <c r="D160" i="60"/>
  <c r="D156" i="60"/>
  <c r="D152" i="60"/>
  <c r="D140" i="60"/>
  <c r="D132" i="60"/>
  <c r="D128" i="60"/>
  <c r="D124" i="60"/>
  <c r="D120" i="60"/>
  <c r="D116" i="60"/>
  <c r="D112" i="60"/>
  <c r="D108" i="60"/>
  <c r="D104" i="60"/>
  <c r="D215" i="60"/>
  <c r="D207" i="60"/>
  <c r="D203" i="60"/>
  <c r="D199" i="60"/>
  <c r="D191" i="60"/>
  <c r="D183" i="60"/>
  <c r="D175" i="60"/>
  <c r="D167" i="60"/>
  <c r="D155" i="60"/>
  <c r="D147" i="60"/>
  <c r="D131" i="60"/>
  <c r="D123" i="60"/>
  <c r="D115" i="60"/>
  <c r="D107" i="60"/>
  <c r="D218" i="60"/>
  <c r="D210" i="60"/>
  <c r="D202" i="60"/>
  <c r="D194" i="60"/>
  <c r="D186" i="60"/>
  <c r="D174" i="60"/>
  <c r="D158" i="60"/>
  <c r="D150" i="60"/>
  <c r="D142" i="60"/>
  <c r="D134" i="60"/>
  <c r="D126" i="60"/>
  <c r="D114" i="60"/>
  <c r="D106" i="60"/>
  <c r="D206" i="60"/>
  <c r="D151" i="60"/>
  <c r="D197" i="60"/>
  <c r="D169" i="60"/>
  <c r="D144" i="60"/>
  <c r="D163" i="60"/>
  <c r="D119" i="60"/>
  <c r="D182" i="60"/>
  <c r="D159" i="60"/>
  <c r="D102" i="60"/>
  <c r="D176" i="60"/>
  <c r="D109" i="60"/>
  <c r="D166" i="60"/>
  <c r="D139" i="60"/>
  <c r="D200" i="60"/>
  <c r="D173" i="60"/>
  <c r="D133" i="60"/>
  <c r="D188" i="60"/>
  <c r="D136" i="60"/>
  <c r="D179" i="60"/>
  <c r="D153" i="60"/>
  <c r="D130" i="60"/>
  <c r="D184" i="60"/>
  <c r="D148" i="60"/>
  <c r="D217" i="60"/>
  <c r="D187" i="60"/>
  <c r="D162" i="60"/>
  <c r="D129" i="60"/>
  <c r="D101" i="60"/>
  <c r="D172" i="60"/>
  <c r="D216" i="60"/>
  <c r="C10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1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<sst xmlns="http://schemas.openxmlformats.org/spreadsheetml/2006/main" count="821" uniqueCount="574">
  <si>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</si>
  <si>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</si>
  <si>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</si>
  <si>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</si>
  <si>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</si>
  <si>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</si>
  <si>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</si>
  <si>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</si>
  <si>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</si>
  <si>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</si>
  <si>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</si>
  <si>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</si>
  <si>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</si>
  <si>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</si>
  <si>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</si>
  <si>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</si>
  <si>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</si>
  <si>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</si>
  <si>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</si>
  <si>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</si>
  <si>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</si>
  <si>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</si>
  <si>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</si>
  <si>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</si>
  <si>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</si>
  <si>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</si>
  <si>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</si>
  <si>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</si>
  <si>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</si>
  <si>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</si>
  <si>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</si>
  <si>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NOTAS</t>
  </si>
  <si>
    <t>DESCRIPCIÓN</t>
  </si>
  <si>
    <t>I. NOTAS DE DESGLOSE:</t>
  </si>
  <si>
    <t>EFE-03</t>
  </si>
  <si>
    <t>CONCILIACIÓN DEL FLUJO DE EFECTIVO</t>
  </si>
  <si>
    <t>INVERSIÓN PÚBLICA</t>
  </si>
  <si>
    <t>Provisiones</t>
  </si>
  <si>
    <t>Disminución de Bienes por pérdida, obsolescencia y deterioro</t>
  </si>
  <si>
    <t>3. Menos ingresos presupuestarios no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</si>
  <si>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</si>
  <si>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</si>
  <si>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</si>
  <si>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</si>
  <si>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</si>
  <si>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</si>
  <si>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</si>
  <si>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</si>
  <si>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</si>
  <si>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</si>
  <si>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</si>
  <si>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</si>
  <si>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</si>
  <si>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</si>
  <si>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</si>
  <si>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</si>
  <si>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</si>
  <si>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</si>
  <si>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</si>
  <si>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</si>
  <si>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</si>
  <si>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</si>
  <si>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</si>
  <si>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</si>
  <si>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</si>
  <si>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</si>
  <si>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ESF-14 OTROS PASIVOS CIRCULANTES</t>
  </si>
  <si>
    <t>VHP-01 PATRIMONIO CONTRIBUIDO</t>
  </si>
  <si>
    <t>VHP-02 PATRIMONIO GENERADO</t>
  </si>
  <si>
    <t>EFE-01 FLUJOS DE EFECTIVO</t>
  </si>
  <si>
    <t>EFE-02 ADQ. BIENES MUEBLES E INMUEBLES</t>
  </si>
  <si>
    <t>Pagos</t>
  </si>
  <si>
    <t>FONDOS Y BIENES DE TERCEROS</t>
  </si>
  <si>
    <t>EFE-03 CONCILIACION DEL FLUJO DE EFECTIVO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</si>
  <si>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</si>
  <si>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</si>
  <si>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</si>
  <si>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</si>
  <si>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</si>
  <si>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</si>
  <si>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</si>
  <si>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</si>
  <si>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</si>
  <si>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</si>
  <si>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</si>
  <si>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</si>
  <si>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</si>
  <si>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</si>
  <si>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</si>
  <si>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</si>
  <si>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</si>
  <si>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</si>
  <si>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</si>
  <si>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</si>
  <si>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</si>
  <si>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</si>
  <si>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</si>
  <si>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</si>
  <si>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</si>
  <si>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</si>
  <si>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</si>
  <si>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</si>
  <si>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</si>
  <si>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</si>
  <si>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</si>
  <si>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</si>
  <si>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</si>
  <si>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</si>
  <si>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</si>
  <si>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</si>
  <si>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</si>
  <si>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</si>
  <si>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</si>
  <si>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</si>
  <si>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</si>
  <si>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</si>
  <si>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</si>
  <si>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</si>
  <si>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</si>
  <si>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</si>
  <si>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</si>
  <si>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</si>
  <si>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</si>
  <si>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</si>
  <si>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</si>
  <si>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</si>
  <si>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</si>
  <si>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</si>
  <si>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</si>
  <si>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</si>
  <si>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</si>
  <si>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</si>
  <si>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</si>
  <si>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</si>
  <si>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</si>
  <si>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</si>
  <si>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</si>
  <si>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</si>
  <si>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</si>
  <si>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</si>
  <si>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</si>
  <si>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</si>
  <si>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</si>
  <si>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</si>
  <si>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</si>
  <si>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</si>
  <si>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</si>
  <si>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</si>
  <si>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</si>
  <si>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</si>
  <si>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</si>
  <si>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</si>
  <si>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</si>
  <si>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</si>
  <si>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</si>
  <si>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</si>
  <si>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</si>
  <si>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</si>
  <si>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</si>
  <si>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</si>
  <si>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</si>
  <si>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</si>
  <si>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</si>
  <si>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</si>
  <si>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</si>
  <si>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</si>
  <si>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</si>
  <si>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</si>
  <si>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</si>
  <si>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</si>
  <si>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</si>
  <si>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</si>
  <si>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</si>
  <si>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</si>
  <si>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</si>
  <si>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</si>
  <si>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</si>
  <si>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</si>
  <si>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</si>
  <si>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</si>
  <si>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</si>
  <si>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</si>
  <si>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</si>
  <si>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</si>
  <si>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</si>
  <si>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</si>
  <si>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</si>
  <si>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</si>
  <si>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</si>
  <si>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</si>
  <si>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</si>
  <si>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</si>
  <si>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</si>
  <si>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</si>
  <si>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</si>
  <si>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</si>
  <si>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</si>
  <si>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</si>
  <si>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</si>
  <si>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</si>
  <si>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</si>
  <si>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</si>
  <si>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</si>
  <si>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</si>
  <si>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</si>
  <si>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</si>
  <si>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</si>
  <si>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</si>
  <si>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</si>
  <si>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</si>
  <si>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</si>
  <si>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</si>
  <si>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</si>
  <si>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</si>
  <si>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</si>
  <si>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</si>
  <si>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</si>
  <si>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</si>
  <si>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</si>
  <si>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</si>
  <si>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</si>
  <si>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</si>
  <si>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</si>
  <si>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</si>
  <si>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</si>
  <si>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</si>
  <si>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</si>
  <si>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</si>
  <si>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</si>
  <si>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</si>
  <si>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</si>
  <si>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</si>
  <si>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</si>
  <si>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</si>
  <si>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</si>
  <si>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</si>
  <si>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</si>
  <si>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</si>
  <si>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</si>
  <si>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</si>
  <si>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</si>
  <si>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</si>
  <si>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</si>
  <si>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</si>
  <si>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</si>
  <si>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</si>
  <si>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</si>
  <si>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</si>
  <si>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</si>
  <si>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</si>
  <si>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</si>
  <si>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</si>
  <si>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</si>
  <si>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</si>
  <si>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</si>
  <si>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</si>
  <si>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</si>
  <si>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</si>
  <si>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</si>
  <si>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</si>
  <si>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</si>
  <si>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</si>
  <si>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</si>
  <si>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</si>
  <si>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</si>
  <si>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</si>
  <si>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</si>
  <si>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</si>
  <si>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</si>
  <si>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</si>
  <si>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</si>
  <si>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</si>
  <si>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</si>
  <si>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</si>
  <si>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</si>
  <si>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</si>
  <si>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</si>
  <si>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</si>
  <si>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</si>
  <si>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</si>
  <si>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</si>
  <si>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</si>
  <si>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</si>
  <si>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</si>
  <si>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</si>
  <si>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</si>
  <si>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</si>
  <si>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</si>
  <si>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</si>
  <si>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</si>
  <si>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</si>
  <si>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</si>
  <si>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</si>
  <si>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</si>
  <si>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</si>
  <si>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</si>
  <si>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</si>
  <si>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</si>
  <si>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</si>
  <si>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</si>
  <si>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</si>
  <si>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</si>
  <si>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</si>
  <si>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</si>
  <si>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</si>
  <si>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</si>
  <si>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</si>
  <si>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</si>
  <si>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</si>
  <si>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</si>
  <si>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</si>
  <si>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</si>
  <si>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</si>
  <si>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</si>
  <si>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</si>
  <si>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</si>
  <si>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</si>
  <si>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</si>
  <si>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</si>
  <si>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</si>
  <si>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</si>
  <si>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</si>
  <si>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</si>
  <si>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</si>
  <si>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</si>
  <si>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</si>
  <si>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</si>
  <si>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</si>
  <si>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</si>
  <si>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</si>
  <si>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</si>
  <si>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</si>
  <si>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</si>
  <si>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</si>
  <si>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</si>
  <si>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</si>
  <si>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</si>
  <si>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</si>
  <si>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</si>
  <si>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</si>
  <si>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</si>
  <si>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</si>
  <si>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</si>
  <si>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</si>
  <si>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</si>
  <si>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</si>
  <si>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</si>
  <si>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</si>
  <si>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</si>
  <si>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</si>
  <si>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</si>
  <si>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</si>
  <si>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</si>
  <si>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</si>
  <si>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</si>
  <si>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</si>
  <si>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</si>
  <si>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</si>
  <si>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</si>
  <si>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</si>
  <si>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</si>
  <si>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</si>
  <si>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</si>
  <si>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</si>
  <si>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</si>
  <si>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</si>
  <si>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</si>
  <si>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</si>
  <si>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</si>
  <si>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</si>
  <si>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</si>
  <si>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</si>
  <si>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</si>
  <si>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</si>
  <si>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</si>
  <si>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</si>
  <si>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</si>
  <si>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</si>
  <si>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</si>
  <si>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</si>
  <si>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</si>
  <si>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</si>
  <si>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</si>
  <si>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</si>
  <si>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</si>
  <si>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</si>
  <si>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</si>
  <si>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</si>
  <si>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</si>
  <si>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</si>
  <si>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</si>
  <si>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</si>
  <si>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</si>
  <si>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</si>
  <si>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</si>
  <si>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</si>
  <si>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</si>
  <si>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</si>
  <si>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</si>
  <si>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</si>
  <si>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</si>
  <si>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</si>
  <si>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</si>
  <si>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</si>
  <si>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</si>
  <si>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</si>
  <si>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</si>
  <si>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</si>
  <si>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</si>
  <si>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</si>
  <si>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</si>
  <si>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</si>
  <si>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</si>
  <si>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</si>
  <si>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</si>
  <si>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</si>
  <si>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</si>
  <si>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</si>
  <si>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</si>
  <si>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</si>
  <si>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</si>
  <si>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</si>
  <si>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</si>
  <si>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</si>
  <si>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</si>
  <si>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</si>
  <si>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</si>
  <si>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</si>
  <si>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</si>
  <si>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</si>
  <si>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</si>
  <si>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</si>
  <si>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</si>
  <si>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</si>
  <si>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</si>
  <si>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</si>
  <si>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</si>
  <si>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</si>
  <si>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</si>
  <si>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</si>
  <si>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</si>
  <si>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</si>
  <si>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</si>
  <si>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</si>
  <si>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</si>
  <si>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</si>
  <si>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</si>
  <si>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</si>
  <si>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</si>
  <si>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</si>
  <si>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</si>
  <si>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</si>
  <si>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</si>
  <si>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</si>
  <si>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</si>
  <si>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</si>
  <si>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</si>
  <si>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</si>
  <si>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</si>
  <si>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</si>
  <si>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</si>
  <si>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</si>
  <si>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</si>
  <si>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</si>
  <si>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</si>
  <si>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</si>
  <si>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</si>
  <si>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</si>
  <si>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</si>
  <si>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</si>
  <si>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</si>
  <si>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</si>
  <si>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</si>
  <si>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</si>
  <si>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</si>
  <si>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</si>
  <si>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</si>
  <si>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</si>
  <si>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</si>
  <si>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</si>
  <si>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</si>
  <si>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</si>
  <si>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</si>
  <si>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</si>
  <si>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</si>
  <si>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</si>
  <si>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</si>
  <si>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</si>
  <si>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</si>
  <si>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</si>
  <si>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</si>
  <si>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</si>
  <si>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</si>
  <si>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</si>
  <si>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</si>
  <si>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</si>
  <si>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</si>
  <si>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</si>
  <si>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</si>
  <si>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</si>
  <si>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</si>
  <si>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</si>
  <si>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</si>
  <si>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</si>
  <si>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</si>
  <si>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</si>
  <si>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</si>
  <si>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</si>
  <si>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</si>
  <si>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</si>
  <si>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</si>
  <si>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</si>
  <si>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Correspondiente del 1 de Enero al 31 de Diciembre de 2023</t>
  </si>
  <si>
    <t>PEPS</t>
  </si>
  <si>
    <t>Linea Recta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</si>
  <si>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</si>
  <si>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</si>
  <si>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</si>
  <si>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</si>
  <si>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</si>
  <si>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</si>
  <si>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</si>
  <si>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</si>
  <si>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</si>
  <si>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</si>
  <si>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</si>
  <si>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</si>
  <si>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</si>
  <si>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</si>
  <si>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</si>
  <si>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</si>
  <si>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</si>
  <si>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</si>
  <si>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</si>
  <si>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</si>
  <si>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</si>
  <si>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</si>
  <si>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</si>
  <si>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</si>
  <si>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</si>
  <si>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</si>
  <si>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</si>
  <si>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</si>
  <si>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</si>
  <si>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</si>
  <si>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</si>
  <si>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</si>
  <si>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</si>
  <si>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</si>
  <si>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</si>
  <si>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</si>
  <si>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</si>
  <si>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</si>
  <si>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</si>
  <si>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</si>
  <si>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</si>
  <si>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</si>
  <si>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</si>
  <si>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</si>
  <si>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</si>
  <si>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</si>
  <si>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</si>
  <si>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</si>
  <si>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3.1.1.2.0 ENTIDADES PARA ESTATALES Y FIDEICOMISOS NO EMPRESARIALES Y NO FINANCIEROS</t>
  </si>
  <si>
    <t>MUNICIPIO DE SALAMANCA GUANAJUATO</t>
  </si>
  <si>
    <t>Cuenta Publica 2023</t>
  </si>
  <si>
    <t>Notas de Desglose y Memoria Consolidadas</t>
  </si>
  <si>
    <t>Notas de Desglose de Estados de Situacion Financiera Consolidado</t>
  </si>
  <si>
    <t>Notas de Desglose de Estados de Actividades Consolidado</t>
  </si>
  <si>
    <t>Notas de Desglose Estados de Variacion en la Hacienda Publica Consolidado</t>
  </si>
  <si>
    <t>Notas de Desglose Estados deFlujo de Efectivo Consolidado</t>
  </si>
  <si>
    <t>Conciliacion entre los Ingresos Presupuestarios y Contables Consolidados</t>
  </si>
  <si>
    <t>Conciliacion entre los Egresos Presupuestarios y Gastos Contables Consolidados</t>
  </si>
  <si>
    <t>Notas de Memoria Consolidadas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</si>
</sst>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7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45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11" fillId="3" borderId="0" xfId="8" applyFont="1" applyFill="1" applyAlignment="1">
      <alignment horizontal="left" vertical="center"/>
    </xf>
    <xf numFmtId="0" fontId="9" fillId="0" borderId="0" xfId="8" applyFont="1" applyAlignment="1">
      <alignment vertical="center"/>
    </xf>
    <xf numFmtId="0" fontId="11" fillId="3" borderId="0" xfId="8" applyFont="1" applyFill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vertical="center"/>
    </xf>
    <xf numFmtId="0" fontId="8" fillId="3" borderId="0" xfId="8" applyFont="1" applyFill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 applyAlignment="1">
      <alignment wrapText="1"/>
    </xf>
    <xf numFmtId="4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5" fillId="0" borderId="2" xfId="13" applyFont="1" applyBorder="1"/>
    <xf numFmtId="0" fontId="9" fillId="0" borderId="11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0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1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1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2" xfId="13" applyFont="1" applyFill="1" applyBorder="1" applyAlignment="1">
      <alignment vertical="center"/>
    </xf>
    <xf numFmtId="0" fontId="2" fillId="0" borderId="11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1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14" fillId="0" borderId="4" xfId="11" applyFont="1" applyBorder="1" applyAlignment="1" applyProtection="1">
      <alignment horizontal="center"/>
      <protection locked="0"/>
    </xf>
    <xf numFmtId="0" fontId="14" fillId="0" borderId="8" xfId="11" applyFont="1" applyBorder="1" applyProtection="1">
      <protection locked="0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2" fillId="5" borderId="0" xfId="9" applyFont="1" applyFill="1" applyAlignment="1">
      <alignment horizontal="center" vertical="center"/>
    </xf>
    <xf numFmtId="0" fontId="2" fillId="0" borderId="15" xfId="12" applyFont="1" applyBorder="1" applyAlignment="1">
      <alignment wrapText="1"/>
    </xf>
    <xf numFmtId="0" fontId="9" fillId="0" borderId="15" xfId="12" applyFont="1" applyBorder="1"/>
    <xf numFmtId="9" fontId="2" fillId="0" borderId="15" xfId="14" applyFont="1" applyBorder="1"/>
    <xf numFmtId="0" fontId="9" fillId="0" borderId="15" xfId="8" applyFont="1" applyBorder="1" applyAlignment="1">
      <alignment horizontal="center" vertical="center"/>
    </xf>
    <xf numFmtId="0" fontId="2" fillId="0" borderId="15" xfId="12" applyFont="1" applyBorder="1"/>
    <xf numFmtId="4" fontId="2" fillId="0" borderId="15" xfId="12" applyNumberFormat="1" applyFont="1" applyBorder="1"/>
    <xf numFmtId="0" fontId="2" fillId="0" borderId="15" xfId="12" applyFont="1" applyBorder="1" applyAlignment="1">
      <alignment horizontal="center" vertical="center"/>
    </xf>
    <xf numFmtId="0" fontId="2" fillId="0" borderId="15" xfId="12" applyFont="1" applyBorder="1" applyAlignment="1">
      <alignment horizontal="center"/>
    </xf>
    <xf numFmtId="0" fontId="9" fillId="0" borderId="15" xfId="8" applyFont="1" applyBorder="1" applyAlignment="1">
      <alignment vertical="center"/>
    </xf>
    <xf numFmtId="4" fontId="9" fillId="0" borderId="15" xfId="8" applyNumberFormat="1" applyFont="1" applyBorder="1" applyAlignment="1">
      <alignment vertical="center"/>
    </xf>
    <xf numFmtId="0" fontId="12" fillId="5" borderId="0" xfId="8" applyFont="1" applyFill="1" applyAlignment="1">
      <alignment vertical="center" wrapText="1"/>
    </xf>
    <xf numFmtId="0" fontId="11" fillId="4" borderId="0" xfId="8" applyFont="1" applyFill="1" applyAlignment="1">
      <alignment vertical="center"/>
    </xf>
    <xf numFmtId="0" fontId="12" fillId="5" borderId="0" xfId="8" applyFont="1" applyFill="1" applyAlignment="1">
      <alignment vertical="center"/>
    </xf>
    <xf numFmtId="4" fontId="9" fillId="0" borderId="0" xfId="8" applyNumberFormat="1" applyFont="1" applyAlignment="1">
      <alignment vertical="center"/>
    </xf>
    <xf numFmtId="0" fontId="12" fillId="6" borderId="0" xfId="8" applyFont="1" applyFill="1" applyAlignment="1">
      <alignment vertical="center"/>
    </xf>
    <xf numFmtId="9" fontId="2" fillId="0" borderId="15" xfId="12" applyNumberFormat="1" applyFont="1" applyBorder="1"/>
    <xf numFmtId="0" fontId="9" fillId="0" borderId="16" xfId="9" applyFont="1" applyBorder="1" applyAlignment="1">
      <alignment horizontal="center"/>
    </xf>
    <xf numFmtId="0" fontId="9" fillId="0" borderId="16" xfId="9" applyFont="1" applyBorder="1"/>
    <xf numFmtId="4" fontId="9" fillId="0" borderId="16" xfId="9" applyNumberFormat="1" applyFont="1" applyBorder="1"/>
    <xf numFmtId="0" fontId="9" fillId="0" borderId="15" xfId="9" applyFont="1" applyBorder="1" applyAlignment="1">
      <alignment horizontal="center"/>
    </xf>
    <xf numFmtId="0" fontId="9" fillId="0" borderId="15" xfId="9" applyFont="1" applyBorder="1"/>
    <xf numFmtId="4" fontId="9" fillId="0" borderId="15" xfId="9" applyNumberFormat="1" applyFont="1" applyBorder="1"/>
    <xf numFmtId="0" fontId="8" fillId="0" borderId="15" xfId="9" applyFont="1" applyBorder="1" applyAlignment="1">
      <alignment horizontal="center"/>
    </xf>
    <xf numFmtId="0" fontId="8" fillId="0" borderId="15" xfId="9" applyFont="1" applyBorder="1"/>
    <xf numFmtId="4" fontId="8" fillId="0" borderId="15" xfId="9" applyNumberFormat="1" applyFont="1" applyBorder="1"/>
    <xf numFmtId="0" fontId="8" fillId="0" borderId="15" xfId="9" applyFont="1" applyBorder="1" applyAlignment="1">
      <alignment horizontal="left" indent="1"/>
    </xf>
    <xf numFmtId="0" fontId="8" fillId="0" borderId="15" xfId="2" applyFont="1" applyBorder="1" applyAlignment="1">
      <alignment horizontal="center"/>
    </xf>
    <xf numFmtId="0" fontId="8" fillId="0" borderId="15" xfId="2" applyFont="1" applyBorder="1"/>
    <xf numFmtId="4" fontId="8" fillId="0" borderId="15" xfId="19" applyNumberFormat="1" applyFont="1" applyFill="1" applyBorder="1"/>
    <xf numFmtId="0" fontId="9" fillId="0" borderId="15" xfId="2" applyFont="1" applyBorder="1" applyAlignment="1">
      <alignment horizontal="center"/>
    </xf>
    <xf numFmtId="0" fontId="9" fillId="0" borderId="15" xfId="2" applyFont="1" applyBorder="1"/>
    <xf numFmtId="4" fontId="9" fillId="0" borderId="15" xfId="19" applyNumberFormat="1" applyFont="1" applyFill="1" applyBorder="1"/>
    <xf numFmtId="0" fontId="1" fillId="0" borderId="15" xfId="9" applyFont="1" applyBorder="1"/>
    <xf numFmtId="0" fontId="1" fillId="0" borderId="15" xfId="2" applyFont="1" applyBorder="1"/>
    <xf numFmtId="4" fontId="8" fillId="0" borderId="15" xfId="18" applyNumberFormat="1" applyFont="1" applyFill="1" applyBorder="1"/>
    <xf numFmtId="0" fontId="2" fillId="0" borderId="15" xfId="2" applyFont="1" applyBorder="1"/>
    <xf numFmtId="4" fontId="9" fillId="0" borderId="15" xfId="18" applyNumberFormat="1" applyFont="1" applyFill="1" applyBorder="1"/>
    <xf numFmtId="0" fontId="8" fillId="0" borderId="15" xfId="2" applyFont="1" applyBorder="1" applyAlignment="1">
      <alignment horizontal="left" indent="1"/>
    </xf>
    <xf numFmtId="4" fontId="8" fillId="0" borderId="15" xfId="2" applyNumberFormat="1" applyFont="1" applyBorder="1"/>
    <xf numFmtId="0" fontId="2" fillId="0" borderId="15" xfId="9" applyFont="1" applyBorder="1"/>
    <xf numFmtId="4" fontId="5" fillId="0" borderId="15" xfId="2" applyNumberFormat="1" applyFont="1" applyBorder="1" applyAlignment="1" applyProtection="1">
      <alignment vertical="top"/>
      <protection locked="0"/>
    </xf>
    <xf numFmtId="0" fontId="8" fillId="0" borderId="15" xfId="9" quotePrefix="1" applyFont="1" applyBorder="1" applyAlignment="1">
      <alignment horizontal="left" indent="1"/>
    </xf>
    <xf numFmtId="3" fontId="5" fillId="0" borderId="0" xfId="10" applyNumberFormat="1" applyFont="1"/>
    <xf numFmtId="43" fontId="5" fillId="0" borderId="0" xfId="18" applyFont="1"/>
    <xf numFmtId="4" fontId="8" fillId="7" borderId="1" xfId="13" applyNumberFormat="1" applyFont="1" applyFill="1" applyBorder="1" applyAlignment="1">
      <alignment horizontal="right" vertical="center"/>
    </xf>
    <xf numFmtId="4" fontId="8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wrapText="1" indent="1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" fontId="8" fillId="7" borderId="1" xfId="13" applyNumberFormat="1" applyFont="1" applyFill="1" applyBorder="1" applyAlignment="1">
      <alignment horizontal="right" vertical="center" wrapText="1" indent="1"/>
    </xf>
    <xf numFmtId="0" fontId="11" fillId="4" borderId="0" xfId="9" applyFont="1" applyFill="1" applyAlignment="1">
      <alignment vertical="center"/>
    </xf>
    <xf numFmtId="0" fontId="12" fillId="5" borderId="0" xfId="9" applyFont="1" applyFill="1" applyAlignment="1">
      <alignment vertical="center"/>
    </xf>
    <xf numFmtId="0" fontId="12" fillId="5" borderId="0" xfId="9" applyFont="1" applyFill="1" applyAlignment="1">
      <alignment vertical="center" wrapText="1"/>
    </xf>
    <xf numFmtId="0" fontId="8" fillId="0" borderId="15" xfId="9" applyFont="1" applyBorder="1" applyAlignment="1">
      <alignment horizontal="center" vertical="center"/>
    </xf>
    <xf numFmtId="0" fontId="8" fillId="0" borderId="15" xfId="9" applyFont="1" applyBorder="1" applyAlignment="1">
      <alignment vertical="center"/>
    </xf>
    <xf numFmtId="0" fontId="8" fillId="0" borderId="0" xfId="9" applyFont="1" applyAlignment="1">
      <alignment vertical="center"/>
    </xf>
    <xf numFmtId="0" fontId="9" fillId="0" borderId="15" xfId="9" applyFont="1" applyBorder="1" applyAlignment="1">
      <alignment vertical="center"/>
    </xf>
    <xf numFmtId="4" fontId="9" fillId="0" borderId="15" xfId="9" applyNumberFormat="1" applyFont="1" applyBorder="1" applyAlignment="1">
      <alignment vertical="center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indent="1"/>
    </xf>
    <xf numFmtId="0" fontId="11" fillId="0" borderId="0" xfId="8" applyFont="1" applyFill="1" applyAlignment="1">
      <alignment vertical="center"/>
    </xf>
    <xf numFmtId="0" fontId="8" fillId="0" borderId="0" xfId="8" applyFont="1" applyFill="1" applyAlignment="1">
      <alignment vertical="center"/>
    </xf>
    <xf numFmtId="0" fontId="8" fillId="3" borderId="0" xfId="9" applyFont="1" applyFill="1" applyAlignment="1">
      <alignment vertical="center"/>
    </xf>
    <xf numFmtId="0" fontId="11" fillId="3" borderId="0" xfId="8" applyFont="1" applyFill="1" applyAlignment="1">
      <alignment horizontal="center" vertical="center"/>
    </xf>
    <xf numFmtId="0" fontId="8" fillId="3" borderId="0" xfId="8" applyFont="1" applyFill="1" applyAlignment="1">
      <alignment horizontal="center" vertical="center"/>
    </xf>
  </cellXfs>
  <cellStyles count="274">
    <cellStyle name="Euro" xfId="39"/>
    <cellStyle name="Hipervínculo" xfId="11" builtinId="8"/>
    <cellStyle name="Millares" xfId="18" builtinId="3"/>
    <cellStyle name="Millares 2" xfId="1"/>
    <cellStyle name="Millares 2 10" xfId="120"/>
    <cellStyle name="Millares 2 10 2" xfId="239"/>
    <cellStyle name="Millares 2 11" xfId="110"/>
    <cellStyle name="Millares 2 11 2" xfId="233"/>
    <cellStyle name="Millares 2 12" xfId="100"/>
    <cellStyle name="Millares 2 12 2" xfId="227"/>
    <cellStyle name="Millares 2 13" xfId="90"/>
    <cellStyle name="Millares 2 13 2" xfId="221"/>
    <cellStyle name="Millares 2 14" xfId="80"/>
    <cellStyle name="Millares 2 14 2" xfId="215"/>
    <cellStyle name="Millares 2 15" xfId="70"/>
    <cellStyle name="Millares 2 15 2" xfId="209"/>
    <cellStyle name="Millares 2 16" xfId="60"/>
    <cellStyle name="Millares 2 16 2" xfId="203"/>
    <cellStyle name="Millares 2 17" xfId="26"/>
    <cellStyle name="Millares 2 18" xfId="181"/>
    <cellStyle name="Millares 2 19" xfId="20"/>
    <cellStyle name="Millares 2 2" xfId="15"/>
    <cellStyle name="Millares 2 2 10" xfId="101"/>
    <cellStyle name="Millares 2 2 10 2" xfId="228"/>
    <cellStyle name="Millares 2 2 11" xfId="91"/>
    <cellStyle name="Millares 2 2 11 2" xfId="222"/>
    <cellStyle name="Millares 2 2 12" xfId="81"/>
    <cellStyle name="Millares 2 2 12 2" xfId="216"/>
    <cellStyle name="Millares 2 2 13" xfId="71"/>
    <cellStyle name="Millares 2 2 13 2" xfId="210"/>
    <cellStyle name="Millares 2 2 14" xfId="61"/>
    <cellStyle name="Millares 2 2 14 2" xfId="204"/>
    <cellStyle name="Millares 2 2 15" xfId="178"/>
    <cellStyle name="Millares 2 2 15 2" xfId="271"/>
    <cellStyle name="Millares 2 2 16" xfId="27"/>
    <cellStyle name="Millares 2 2 17" xfId="182"/>
    <cellStyle name="Millares 2 2 18" xfId="21"/>
    <cellStyle name="Millares 2 2 2" xfId="33"/>
    <cellStyle name="Millares 2 2 2 2" xfId="53"/>
    <cellStyle name="Millares 2 2 2 2 2" xfId="199"/>
    <cellStyle name="Millares 2 2 2 3" xfId="188"/>
    <cellStyle name="Millares 2 2 3" xfId="41"/>
    <cellStyle name="Millares 2 2 3 2" xfId="194"/>
    <cellStyle name="Millares 2 2 4" xfId="160"/>
    <cellStyle name="Millares 2 2 4 2" xfId="263"/>
    <cellStyle name="Millares 2 2 5" xfId="150"/>
    <cellStyle name="Millares 2 2 5 2" xfId="257"/>
    <cellStyle name="Millares 2 2 6" xfId="141"/>
    <cellStyle name="Millares 2 2 6 2" xfId="252"/>
    <cellStyle name="Millares 2 2 7" xfId="131"/>
    <cellStyle name="Millares 2 2 7 2" xfId="246"/>
    <cellStyle name="Millares 2 2 8" xfId="121"/>
    <cellStyle name="Millares 2 2 8 2" xfId="240"/>
    <cellStyle name="Millares 2 2 9" xfId="111"/>
    <cellStyle name="Millares 2 2 9 2" xfId="234"/>
    <cellStyle name="Millares 2 3" xfId="16"/>
    <cellStyle name="Millares 2 3 10" xfId="102"/>
    <cellStyle name="Millares 2 3 10 2" xfId="229"/>
    <cellStyle name="Millares 2 3 11" xfId="92"/>
    <cellStyle name="Millares 2 3 11 2" xfId="223"/>
    <cellStyle name="Millares 2 3 12" xfId="82"/>
    <cellStyle name="Millares 2 3 12 2" xfId="217"/>
    <cellStyle name="Millares 2 3 13" xfId="72"/>
    <cellStyle name="Millares 2 3 13 2" xfId="211"/>
    <cellStyle name="Millares 2 3 14" xfId="62"/>
    <cellStyle name="Millares 2 3 14 2" xfId="205"/>
    <cellStyle name="Millares 2 3 15" xfId="180"/>
    <cellStyle name="Millares 2 3 15 2" xfId="273"/>
    <cellStyle name="Millares 2 3 16" xfId="28"/>
    <cellStyle name="Millares 2 3 17" xfId="183"/>
    <cellStyle name="Millares 2 3 18" xfId="22"/>
    <cellStyle name="Millares 2 3 2" xfId="34"/>
    <cellStyle name="Millares 2 3 2 2" xfId="54"/>
    <cellStyle name="Millares 2 3 2 2 2" xfId="200"/>
    <cellStyle name="Millares 2 3 2 3" xfId="189"/>
    <cellStyle name="Millares 2 3 3" xfId="42"/>
    <cellStyle name="Millares 2 3 3 2" xfId="195"/>
    <cellStyle name="Millares 2 3 4" xfId="161"/>
    <cellStyle name="Millares 2 3 4 2" xfId="264"/>
    <cellStyle name="Millares 2 3 5" xfId="151"/>
    <cellStyle name="Millares 2 3 5 2" xfId="258"/>
    <cellStyle name="Millares 2 3 6" xfId="142"/>
    <cellStyle name="Millares 2 3 6 2" xfId="253"/>
    <cellStyle name="Millares 2 3 7" xfId="132"/>
    <cellStyle name="Millares 2 3 7 2" xfId="247"/>
    <cellStyle name="Millares 2 3 8" xfId="122"/>
    <cellStyle name="Millares 2 3 8 2" xfId="241"/>
    <cellStyle name="Millares 2 3 9" xfId="112"/>
    <cellStyle name="Millares 2 3 9 2" xfId="235"/>
    <cellStyle name="Millares 2 4" xfId="32"/>
    <cellStyle name="Millares 2 4 10" xfId="79"/>
    <cellStyle name="Millares 2 4 10 2" xfId="214"/>
    <cellStyle name="Millares 2 4 11" xfId="69"/>
    <cellStyle name="Millares 2 4 11 2" xfId="208"/>
    <cellStyle name="Millares 2 4 12" xfId="187"/>
    <cellStyle name="Millares 2 4 2" xfId="52"/>
    <cellStyle name="Millares 2 4 2 2" xfId="198"/>
    <cellStyle name="Millares 2 4 3" xfId="158"/>
    <cellStyle name="Millares 2 4 3 2" xfId="261"/>
    <cellStyle name="Millares 2 4 4" xfId="139"/>
    <cellStyle name="Millares 2 4 4 2" xfId="250"/>
    <cellStyle name="Millares 2 4 5" xfId="129"/>
    <cellStyle name="Millares 2 4 5 2" xfId="244"/>
    <cellStyle name="Millares 2 4 6" xfId="119"/>
    <cellStyle name="Millares 2 4 6 2" xfId="238"/>
    <cellStyle name="Millares 2 4 7" xfId="109"/>
    <cellStyle name="Millares 2 4 7 2" xfId="232"/>
    <cellStyle name="Millares 2 4 8" xfId="99"/>
    <cellStyle name="Millares 2 4 8 2" xfId="226"/>
    <cellStyle name="Millares 2 4 9" xfId="89"/>
    <cellStyle name="Millares 2 4 9 2" xfId="220"/>
    <cellStyle name="Millares 2 5" xfId="40"/>
    <cellStyle name="Millares 2 5 2" xfId="168"/>
    <cellStyle name="Millares 2 5 2 2" xfId="267"/>
    <cellStyle name="Millares 2 5 3" xfId="193"/>
    <cellStyle name="Millares 2 6" xfId="159"/>
    <cellStyle name="Millares 2 6 2" xfId="262"/>
    <cellStyle name="Millares 2 7" xfId="149"/>
    <cellStyle name="Millares 2 7 2" xfId="256"/>
    <cellStyle name="Millares 2 8" xfId="140"/>
    <cellStyle name="Millares 2 8 2" xfId="251"/>
    <cellStyle name="Millares 2 9" xfId="130"/>
    <cellStyle name="Millares 2 9 2" xfId="245"/>
    <cellStyle name="Millares 3" xfId="19"/>
    <cellStyle name="Millares 3 10" xfId="103"/>
    <cellStyle name="Millares 3 10 2" xfId="230"/>
    <cellStyle name="Millares 3 11" xfId="93"/>
    <cellStyle name="Millares 3 11 2" xfId="224"/>
    <cellStyle name="Millares 3 12" xfId="83"/>
    <cellStyle name="Millares 3 12 2" xfId="218"/>
    <cellStyle name="Millares 3 13" xfId="73"/>
    <cellStyle name="Millares 3 13 2" xfId="212"/>
    <cellStyle name="Millares 3 14" xfId="63"/>
    <cellStyle name="Millares 3 14 2" xfId="206"/>
    <cellStyle name="Millares 3 15" xfId="179"/>
    <cellStyle name="Millares 3 15 2" xfId="272"/>
    <cellStyle name="Millares 3 16" xfId="31"/>
    <cellStyle name="Millares 3 17" xfId="186"/>
    <cellStyle name="Millares 3 18" xfId="25"/>
    <cellStyle name="Millares 3 2" xfId="37"/>
    <cellStyle name="Millares 3 2 2" xfId="55"/>
    <cellStyle name="Millares 3 2 2 2" xfId="201"/>
    <cellStyle name="Millares 3 2 3" xfId="192"/>
    <cellStyle name="Millares 3 3" xfId="43"/>
    <cellStyle name="Millares 3 3 2" xfId="196"/>
    <cellStyle name="Millares 3 4" xfId="162"/>
    <cellStyle name="Millares 3 4 2" xfId="265"/>
    <cellStyle name="Millares 3 5" xfId="152"/>
    <cellStyle name="Millares 3 5 2" xfId="259"/>
    <cellStyle name="Millares 3 6" xfId="143"/>
    <cellStyle name="Millares 3 6 2" xfId="254"/>
    <cellStyle name="Millares 3 7" xfId="133"/>
    <cellStyle name="Millares 3 7 2" xfId="248"/>
    <cellStyle name="Millares 3 8" xfId="123"/>
    <cellStyle name="Millares 3 8 2" xfId="242"/>
    <cellStyle name="Millares 3 9" xfId="113"/>
    <cellStyle name="Millares 3 9 2" xfId="236"/>
    <cellStyle name="Millares 4" xfId="17"/>
    <cellStyle name="Millares 4 2" xfId="35"/>
    <cellStyle name="Millares 4 2 2" xfId="190"/>
    <cellStyle name="Millares 4 3" xfId="169"/>
    <cellStyle name="Millares 4 3 2" xfId="268"/>
    <cellStyle name="Millares 4 4" xfId="29"/>
    <cellStyle name="Millares 4 5" xfId="184"/>
    <cellStyle name="Millares 4 6" xfId="23"/>
    <cellStyle name="Millares 5" xfId="36"/>
    <cellStyle name="Millares 5 2" xfId="191"/>
    <cellStyle name="Millares 6" xfId="30"/>
    <cellStyle name="Millares 7" xfId="185"/>
    <cellStyle name="Millares 8" xfId="24"/>
    <cellStyle name="Moneda 2" xfId="44"/>
    <cellStyle name="Moneda 2 10" xfId="104"/>
    <cellStyle name="Moneda 2 10 2" xfId="231"/>
    <cellStyle name="Moneda 2 11" xfId="94"/>
    <cellStyle name="Moneda 2 11 2" xfId="225"/>
    <cellStyle name="Moneda 2 12" xfId="84"/>
    <cellStyle name="Moneda 2 12 2" xfId="219"/>
    <cellStyle name="Moneda 2 13" xfId="74"/>
    <cellStyle name="Moneda 2 13 2" xfId="213"/>
    <cellStyle name="Moneda 2 14" xfId="64"/>
    <cellStyle name="Moneda 2 14 2" xfId="207"/>
    <cellStyle name="Moneda 2 15" xfId="197"/>
    <cellStyle name="Moneda 2 2" xfId="56"/>
    <cellStyle name="Moneda 2 2 2" xfId="175"/>
    <cellStyle name="Moneda 2 2 2 2" xfId="270"/>
    <cellStyle name="Moneda 2 2 3" xfId="202"/>
    <cellStyle name="Moneda 2 3" xfId="170"/>
    <cellStyle name="Moneda 2 3 2" xfId="269"/>
    <cellStyle name="Moneda 2 4" xfId="163"/>
    <cellStyle name="Moneda 2 4 2" xfId="266"/>
    <cellStyle name="Moneda 2 5" xfId="153"/>
    <cellStyle name="Moneda 2 5 2" xfId="260"/>
    <cellStyle name="Moneda 2 6" xfId="144"/>
    <cellStyle name="Moneda 2 6 2" xfId="255"/>
    <cellStyle name="Moneda 2 7" xfId="134"/>
    <cellStyle name="Moneda 2 7 2" xfId="249"/>
    <cellStyle name="Moneda 2 8" xfId="124"/>
    <cellStyle name="Moneda 2 8 2" xfId="243"/>
    <cellStyle name="Moneda 2 9" xfId="114"/>
    <cellStyle name="Moneda 2 9 2" xfId="237"/>
    <cellStyle name="Normal" xfId="0" builtinId="0"/>
    <cellStyle name="Normal 2" xfId="2"/>
    <cellStyle name="Normal 2 10" xfId="115"/>
    <cellStyle name="Normal 2 11" xfId="105"/>
    <cellStyle name="Normal 2 12" xfId="95"/>
    <cellStyle name="Normal 2 13" xfId="85"/>
    <cellStyle name="Normal 2 14" xfId="75"/>
    <cellStyle name="Normal 2 15" xfId="65"/>
    <cellStyle name="Normal 2 2" xfId="3"/>
    <cellStyle name="Normal 2 3" xfId="9"/>
    <cellStyle name="Normal 2 3 2" xfId="57"/>
    <cellStyle name="Normal 2 4" xfId="171"/>
    <cellStyle name="Normal 2 5" xfId="164"/>
    <cellStyle name="Normal 2 6" xfId="154"/>
    <cellStyle name="Normal 2 7" xfId="145"/>
    <cellStyle name="Normal 2 8" xfId="135"/>
    <cellStyle name="Normal 2 9" xfId="125"/>
    <cellStyle name="Normal 3" xfId="8"/>
    <cellStyle name="Normal 3 10" xfId="106"/>
    <cellStyle name="Normal 3 11" xfId="96"/>
    <cellStyle name="Normal 3 12" xfId="86"/>
    <cellStyle name="Normal 3 13" xfId="76"/>
    <cellStyle name="Normal 3 14" xfId="66"/>
    <cellStyle name="Normal 3 2" xfId="10"/>
    <cellStyle name="Normal 3 2 2" xfId="13"/>
    <cellStyle name="Normal 3 3" xfId="12"/>
    <cellStyle name="Normal 3 3 2" xfId="172"/>
    <cellStyle name="Normal 3 4" xfId="45"/>
    <cellStyle name="Normal 3 4 2" xfId="165"/>
    <cellStyle name="Normal 3 5" xfId="155"/>
    <cellStyle name="Normal 3 6" xfId="146"/>
    <cellStyle name="Normal 3 7" xfId="136"/>
    <cellStyle name="Normal 3 8" xfId="126"/>
    <cellStyle name="Normal 3 9" xfId="116"/>
    <cellStyle name="Normal 4" xfId="4"/>
    <cellStyle name="Normal 4 2" xfId="47"/>
    <cellStyle name="Normal 4 3" xfId="46"/>
    <cellStyle name="Normal 5" xfId="5"/>
    <cellStyle name="Normal 5 2" xfId="49"/>
    <cellStyle name="Normal 5 3" xfId="48"/>
    <cellStyle name="Normal 56" xfId="6"/>
    <cellStyle name="Normal 6" xfId="50"/>
    <cellStyle name="Normal 6 10" xfId="117"/>
    <cellStyle name="Normal 6 11" xfId="107"/>
    <cellStyle name="Normal 6 12" xfId="97"/>
    <cellStyle name="Normal 6 13" xfId="87"/>
    <cellStyle name="Normal 6 14" xfId="77"/>
    <cellStyle name="Normal 6 15" xfId="67"/>
    <cellStyle name="Normal 6 2" xfId="51"/>
    <cellStyle name="Normal 6 2 10" xfId="108"/>
    <cellStyle name="Normal 6 2 11" xfId="98"/>
    <cellStyle name="Normal 6 2 12" xfId="88"/>
    <cellStyle name="Normal 6 2 13" xfId="78"/>
    <cellStyle name="Normal 6 2 14" xfId="68"/>
    <cellStyle name="Normal 6 2 2" xfId="59"/>
    <cellStyle name="Normal 6 2 2 2" xfId="177"/>
    <cellStyle name="Normal 6 2 3" xfId="174"/>
    <cellStyle name="Normal 6 2 4" xfId="167"/>
    <cellStyle name="Normal 6 2 5" xfId="157"/>
    <cellStyle name="Normal 6 2 6" xfId="148"/>
    <cellStyle name="Normal 6 2 7" xfId="138"/>
    <cellStyle name="Normal 6 2 8" xfId="128"/>
    <cellStyle name="Normal 6 2 9" xfId="118"/>
    <cellStyle name="Normal 6 3" xfId="58"/>
    <cellStyle name="Normal 6 3 2" xfId="176"/>
    <cellStyle name="Normal 6 4" xfId="173"/>
    <cellStyle name="Normal 6 5" xfId="166"/>
    <cellStyle name="Normal 6 6" xfId="156"/>
    <cellStyle name="Normal 6 7" xfId="147"/>
    <cellStyle name="Normal 6 8" xfId="137"/>
    <cellStyle name="Normal 6 9" xfId="127"/>
    <cellStyle name="Normal 7" xfId="38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39"/>
  <sheetViews>
    <sheetView tabSelected="1" zoomScaleNormal="100" zoomScaleSheetLayoutView="100" workbookViewId="0">
      <pane ySplit="7" topLeftCell="A8" activePane="bottomLeft" state="frozen"/>
      <selection activeCell="A14" sqref="A14:B14"/>
      <selection pane="bottomLeft" activeCell="F1" sqref="F1:AL1048576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5" ht="18.95" customHeight="1" x14ac:dyDescent="0.2">
      <c r="A1" s="143" t="s">
        <v>563</v>
      </c>
      <c r="B1" s="143"/>
      <c r="C1" s="13"/>
      <c r="D1" s="10" t="s">
        <v>461</v>
      </c>
      <c r="E1" s="11">
        <v>2023</v>
      </c>
    </row>
    <row r="2" spans="1:5" ht="18.95" customHeight="1" x14ac:dyDescent="0.2">
      <c r="A2" s="144" t="s">
        <v>564</v>
      </c>
      <c r="B2" s="144"/>
      <c r="C2" s="26"/>
      <c r="D2" s="10" t="s">
        <v>462</v>
      </c>
      <c r="E2" s="13" t="s">
        <v>467</v>
      </c>
    </row>
    <row r="3" spans="1:5" ht="18.95" customHeight="1" x14ac:dyDescent="0.2">
      <c r="A3" s="144" t="s">
        <v>565</v>
      </c>
      <c r="B3" s="144"/>
      <c r="C3" s="26"/>
      <c r="D3" s="10"/>
      <c r="E3" s="13"/>
    </row>
    <row r="4" spans="1:5" ht="18.95" customHeight="1" x14ac:dyDescent="0.2">
      <c r="A4" s="144" t="s">
        <v>566</v>
      </c>
      <c r="B4" s="144"/>
      <c r="C4" s="26"/>
      <c r="D4" s="10"/>
      <c r="E4" s="13"/>
    </row>
    <row r="5" spans="1:5" ht="18.95" customHeight="1" x14ac:dyDescent="0.2">
      <c r="A5" s="143" t="s">
        <v>512</v>
      </c>
      <c r="B5" s="143"/>
      <c r="C5" s="13"/>
      <c r="D5" s="10" t="s">
        <v>463</v>
      </c>
      <c r="E5" s="11">
        <v>4</v>
      </c>
    </row>
    <row r="6" spans="1:5" ht="18.95" customHeight="1" x14ac:dyDescent="0.2">
      <c r="A6" s="143" t="s">
        <v>474</v>
      </c>
      <c r="B6" s="143"/>
      <c r="C6" s="13"/>
      <c r="D6" s="13"/>
      <c r="E6" s="13"/>
    </row>
    <row r="7" spans="1:5" ht="15" customHeight="1" x14ac:dyDescent="0.2">
      <c r="A7" s="78" t="s">
        <v>31</v>
      </c>
      <c r="B7" s="77" t="s">
        <v>32</v>
      </c>
    </row>
    <row r="8" spans="1:5" x14ac:dyDescent="0.2">
      <c r="A8" s="2"/>
      <c r="B8" s="3"/>
    </row>
    <row r="9" spans="1:5" x14ac:dyDescent="0.2">
      <c r="A9" s="4"/>
      <c r="B9" s="5" t="s">
        <v>33</v>
      </c>
    </row>
    <row r="10" spans="1:5" x14ac:dyDescent="0.2">
      <c r="A10" s="4"/>
      <c r="B10" s="5"/>
    </row>
    <row r="11" spans="1:5" x14ac:dyDescent="0.2">
      <c r="A11" s="4"/>
      <c r="B11" s="6" t="s">
        <v>0</v>
      </c>
    </row>
    <row r="12" spans="1:5" x14ac:dyDescent="0.2">
      <c r="A12" s="32" t="s">
        <v>1</v>
      </c>
      <c r="B12" s="33" t="s">
        <v>2</v>
      </c>
    </row>
    <row r="13" spans="1:5" x14ac:dyDescent="0.2">
      <c r="A13" s="32" t="s">
        <v>3</v>
      </c>
      <c r="B13" s="33" t="s">
        <v>4</v>
      </c>
    </row>
    <row r="14" spans="1:5" x14ac:dyDescent="0.2">
      <c r="A14" s="32" t="s">
        <v>5</v>
      </c>
      <c r="B14" s="33" t="s">
        <v>6</v>
      </c>
    </row>
    <row r="15" spans="1:5" x14ac:dyDescent="0.2">
      <c r="A15" s="32" t="s">
        <v>41</v>
      </c>
      <c r="B15" s="33" t="s">
        <v>456</v>
      </c>
    </row>
    <row r="16" spans="1:5" x14ac:dyDescent="0.2">
      <c r="A16" s="32" t="s">
        <v>7</v>
      </c>
      <c r="B16" s="33" t="s">
        <v>457</v>
      </c>
    </row>
    <row r="17" spans="1:2" x14ac:dyDescent="0.2">
      <c r="A17" s="32" t="s">
        <v>8</v>
      </c>
      <c r="B17" s="33" t="s">
        <v>40</v>
      </c>
    </row>
    <row r="18" spans="1:2" x14ac:dyDescent="0.2">
      <c r="A18" s="32" t="s">
        <v>9</v>
      </c>
      <c r="B18" s="33" t="s">
        <v>10</v>
      </c>
    </row>
    <row r="19" spans="1:2" x14ac:dyDescent="0.2">
      <c r="A19" s="32" t="s">
        <v>11</v>
      </c>
      <c r="B19" s="33" t="s">
        <v>12</v>
      </c>
    </row>
    <row r="20" spans="1:2" x14ac:dyDescent="0.2">
      <c r="A20" s="32" t="s">
        <v>13</v>
      </c>
      <c r="B20" s="33" t="s">
        <v>14</v>
      </c>
    </row>
    <row r="21" spans="1:2" x14ac:dyDescent="0.2">
      <c r="A21" s="32" t="s">
        <v>15</v>
      </c>
      <c r="B21" s="33" t="s">
        <v>16</v>
      </c>
    </row>
    <row r="22" spans="1:2" x14ac:dyDescent="0.2">
      <c r="A22" s="32" t="s">
        <v>17</v>
      </c>
      <c r="B22" s="33" t="s">
        <v>458</v>
      </c>
    </row>
    <row r="23" spans="1:2" x14ac:dyDescent="0.2">
      <c r="A23" s="32" t="s">
        <v>18</v>
      </c>
      <c r="B23" s="33" t="s">
        <v>19</v>
      </c>
    </row>
    <row r="24" spans="1:2" x14ac:dyDescent="0.2">
      <c r="A24" s="32" t="s">
        <v>20</v>
      </c>
      <c r="B24" s="33" t="s">
        <v>72</v>
      </c>
    </row>
    <row r="25" spans="1:2" x14ac:dyDescent="0.2">
      <c r="A25" s="32" t="s">
        <v>21</v>
      </c>
      <c r="B25" s="33" t="s">
        <v>22</v>
      </c>
    </row>
    <row r="26" spans="1:2" x14ac:dyDescent="0.2">
      <c r="A26" s="73" t="s">
        <v>442</v>
      </c>
      <c r="B26" s="74" t="s">
        <v>185</v>
      </c>
    </row>
    <row r="27" spans="1:2" x14ac:dyDescent="0.2">
      <c r="A27" s="73" t="s">
        <v>443</v>
      </c>
      <c r="B27" s="74" t="s">
        <v>444</v>
      </c>
    </row>
    <row r="28" spans="1:2" x14ac:dyDescent="0.2">
      <c r="A28" s="73" t="s">
        <v>445</v>
      </c>
      <c r="B28" s="74" t="s">
        <v>222</v>
      </c>
    </row>
    <row r="29" spans="1:2" x14ac:dyDescent="0.2">
      <c r="A29" s="73" t="s">
        <v>446</v>
      </c>
      <c r="B29" s="74" t="s">
        <v>239</v>
      </c>
    </row>
    <row r="30" spans="1:2" x14ac:dyDescent="0.2">
      <c r="A30" s="32" t="s">
        <v>23</v>
      </c>
      <c r="B30" s="33" t="s">
        <v>24</v>
      </c>
    </row>
    <row r="31" spans="1:2" x14ac:dyDescent="0.2">
      <c r="A31" s="32" t="s">
        <v>25</v>
      </c>
      <c r="B31" s="33" t="s">
        <v>26</v>
      </c>
    </row>
    <row r="32" spans="1:2" x14ac:dyDescent="0.2">
      <c r="A32" s="32" t="s">
        <v>27</v>
      </c>
      <c r="B32" s="33" t="s">
        <v>28</v>
      </c>
    </row>
    <row r="33" spans="1:2" x14ac:dyDescent="0.2">
      <c r="A33" s="32" t="s">
        <v>29</v>
      </c>
      <c r="B33" s="33" t="s">
        <v>30</v>
      </c>
    </row>
    <row r="34" spans="1:2" x14ac:dyDescent="0.2">
      <c r="A34" s="32" t="s">
        <v>34</v>
      </c>
      <c r="B34" s="33" t="s">
        <v>35</v>
      </c>
    </row>
    <row r="35" spans="1:2" x14ac:dyDescent="0.2">
      <c r="A35" s="4"/>
      <c r="B35" s="7"/>
    </row>
    <row r="36" spans="1:2" ht="12" thickBot="1" x14ac:dyDescent="0.25">
      <c r="A36" s="8"/>
      <c r="B36" s="9"/>
    </row>
    <row r="39" spans="1:2" x14ac:dyDescent="0.2">
      <c r="B39" s="1" t="s">
        <v>475</v>
      </c>
    </row>
  </sheetData>
  <sheetProtection formatCells="0" formatColumns="0" formatRows="0" autoFilter="0" pivotTables="0"/>
  <mergeCells count="6">
    <mergeCell ref="A6:B6"/>
    <mergeCell ref="A1:B1"/>
    <mergeCell ref="A2:B2"/>
    <mergeCell ref="A5:B5"/>
    <mergeCell ref="A3:B3"/>
    <mergeCell ref="A4:B4"/>
  </mergeCells>
  <dataValidations count="1">
    <dataValidation type="list" allowBlank="1" showInputMessage="1" showErrorMessage="1" sqref="E5">
      <formula1>"1, 2, 3, 4"</formula1>
    </dataValidation>
  </dataValidations>
  <hyperlinks>
    <hyperlink ref="A12:B12" location="ESF!A6" display="ESF-01"/>
    <hyperlink ref="A13:B13" location="ESF!A13" display="ESF-02"/>
    <hyperlink ref="A14:B14" location="ESF!A18" display="ESF-03"/>
    <hyperlink ref="A15:B15" location="ESF!A28" display="ESF-04"/>
    <hyperlink ref="A16:B16" location="ESF!A37" display="ESF-05"/>
    <hyperlink ref="A17:B17" location="ESF!A42" display="ESF-06"/>
    <hyperlink ref="A18:B18" location="ESF!A46" display="ESF-07"/>
    <hyperlink ref="A19:B19" location="ESF!A50" display="ESF-08"/>
    <hyperlink ref="A20:B20" location="ESF!A70" display="ESF-09"/>
    <hyperlink ref="A21:B21" location="ESF!A86" display="ESF-10"/>
    <hyperlink ref="A22:B22" location="ESF!A92" display="ESF-11"/>
    <hyperlink ref="A23:B23" location="ESF!A99" display="ESF-12"/>
    <hyperlink ref="A24:B24" location="ESF!A116" display="ESF-13"/>
    <hyperlink ref="A25:B25" location="ESF!A133" display="ESF-14"/>
    <hyperlink ref="A30:B30" location="VHP!A6" display="VHP-01"/>
    <hyperlink ref="A31:B31" location="VHP!A12" display="VHP-02"/>
    <hyperlink ref="A32:B32" location="EFE!A6" display="EFE-01"/>
    <hyperlink ref="A33:B33" location="EFE!A18" display="EFE-02"/>
    <hyperlink ref="A34:B34" location="EFE!A44" display="EFE-03"/>
    <hyperlink ref="A26:B26" location="ACT!A6" display="ACT-01"/>
    <hyperlink ref="A27:B27" location="ACT!A56" display="ACT-02"/>
    <hyperlink ref="A28:B28" location="VHP!A71" display="ACT-03"/>
    <hyperlink ref="A29:B29" location="ACT!A96" display="ACT-04"/>
    <hyperlink ref="A28" location="ACT!A71" display="ACT-03"/>
    <hyperlink ref="B28" location="ACT!A71" display="ACT-03 OTROS INGRESOS"/>
  </hyperlinks>
  <pageMargins left="0.70866141732283472" right="0.70866141732283472" top="0.74803149606299213" bottom="0.74803149606299213" header="0.31496062992125984" footer="0.31496062992125984"/>
  <pageSetup scale="9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3"/>
  <sheetViews>
    <sheetView showGridLines="0" topLeftCell="A49" zoomScaleNormal="100" workbookViewId="0">
      <selection activeCell="A85" sqref="A85"/>
    </sheetView>
  </sheetViews>
  <sheetFormatPr baseColWidth="10" defaultColWidth="9.140625" defaultRowHeight="11.25" x14ac:dyDescent="0.25"/>
  <cols>
    <col min="1" max="1" width="9.42578125" style="12" customWidth="1"/>
    <col min="2" max="2" width="45" style="12" customWidth="1"/>
    <col min="3" max="4" width="11.85546875" style="12" customWidth="1"/>
    <col min="5" max="5" width="12.42578125" style="12" customWidth="1"/>
    <col min="6" max="6" width="10.140625" style="12" customWidth="1"/>
    <col min="7" max="7" width="10.7109375" style="12" customWidth="1"/>
    <col min="8" max="8" width="9.140625" style="12" customWidth="1"/>
    <col min="9" max="9" width="10.28515625" style="12" customWidth="1"/>
    <col min="10" max="16384" width="9.140625" style="12"/>
  </cols>
  <sheetData>
    <row r="1" spans="1:8" ht="18.95" customHeight="1" x14ac:dyDescent="0.25">
      <c r="A1" s="143" t="s">
        <v>563</v>
      </c>
      <c r="B1" s="143"/>
      <c r="C1" s="143"/>
      <c r="D1" s="143"/>
      <c r="E1" s="143"/>
      <c r="F1" s="143"/>
      <c r="G1" s="10" t="s">
        <v>464</v>
      </c>
      <c r="H1" s="17">
        <v>2023</v>
      </c>
    </row>
    <row r="2" spans="1:8" ht="18.95" customHeight="1" x14ac:dyDescent="0.25">
      <c r="A2" s="144" t="s">
        <v>564</v>
      </c>
      <c r="B2" s="144"/>
      <c r="C2" s="144"/>
      <c r="D2" s="144"/>
      <c r="E2" s="144"/>
      <c r="F2" s="144"/>
      <c r="G2" s="10"/>
      <c r="H2" s="17"/>
    </row>
    <row r="3" spans="1:8" ht="18.95" customHeight="1" x14ac:dyDescent="0.25">
      <c r="A3" s="144" t="s">
        <v>565</v>
      </c>
      <c r="B3" s="144"/>
      <c r="C3" s="144"/>
      <c r="D3" s="144"/>
      <c r="E3" s="144"/>
      <c r="F3" s="144"/>
      <c r="G3" s="10"/>
      <c r="H3" s="17"/>
    </row>
    <row r="4" spans="1:8" ht="18.95" customHeight="1" x14ac:dyDescent="0.25">
      <c r="A4" s="144" t="s">
        <v>567</v>
      </c>
      <c r="B4" s="144"/>
      <c r="C4" s="144"/>
      <c r="D4" s="144"/>
      <c r="E4" s="144"/>
      <c r="F4" s="144"/>
      <c r="G4" s="10" t="s">
        <v>465</v>
      </c>
      <c r="H4" s="17" t="s">
        <v>467</v>
      </c>
    </row>
    <row r="5" spans="1:8" ht="18.95" customHeight="1" x14ac:dyDescent="0.25">
      <c r="A5" s="143" t="s">
        <v>512</v>
      </c>
      <c r="B5" s="143"/>
      <c r="C5" s="143"/>
      <c r="D5" s="143"/>
      <c r="E5" s="143"/>
      <c r="F5" s="143"/>
      <c r="G5" s="10" t="s">
        <v>466</v>
      </c>
      <c r="H5" s="17">
        <v>4</v>
      </c>
    </row>
    <row r="6" spans="1:8" x14ac:dyDescent="0.25">
      <c r="A6" s="14" t="s">
        <v>75</v>
      </c>
      <c r="B6" s="91"/>
      <c r="C6" s="91"/>
      <c r="D6" s="91"/>
      <c r="E6" s="91"/>
      <c r="F6" s="91"/>
      <c r="G6" s="91"/>
      <c r="H6" s="91"/>
    </row>
    <row r="8" spans="1:8" x14ac:dyDescent="0.25">
      <c r="A8" s="91" t="s">
        <v>47</v>
      </c>
      <c r="B8" s="91"/>
      <c r="C8" s="91"/>
      <c r="D8" s="91"/>
      <c r="E8" s="91"/>
      <c r="F8" s="91"/>
      <c r="G8" s="91"/>
      <c r="H8" s="91"/>
    </row>
    <row r="9" spans="1:8" x14ac:dyDescent="0.25">
      <c r="A9" s="92" t="s">
        <v>45</v>
      </c>
      <c r="B9" s="92" t="s">
        <v>42</v>
      </c>
      <c r="C9" s="92" t="s">
        <v>43</v>
      </c>
      <c r="D9" s="92" t="s">
        <v>44</v>
      </c>
      <c r="E9" s="92"/>
      <c r="F9" s="92"/>
      <c r="G9" s="92"/>
      <c r="H9" s="92"/>
    </row>
    <row r="10" spans="1:8" x14ac:dyDescent="0.25">
      <c r="A10" s="83">
        <v>1114</v>
      </c>
      <c r="B10" s="88" t="s">
        <v>76</v>
      </c>
      <c r="C10" s="89">
        <v>238977427.47999999</v>
      </c>
      <c r="D10" s="88"/>
      <c r="E10" s="88"/>
      <c r="F10" s="88"/>
      <c r="G10" s="88"/>
      <c r="H10" s="88"/>
    </row>
    <row r="11" spans="1:8" x14ac:dyDescent="0.25">
      <c r="A11" s="83">
        <v>1115</v>
      </c>
      <c r="B11" s="88" t="s">
        <v>77</v>
      </c>
      <c r="C11" s="89">
        <v>0</v>
      </c>
      <c r="D11" s="88"/>
      <c r="E11" s="88"/>
      <c r="F11" s="88"/>
      <c r="G11" s="88"/>
      <c r="H11" s="88"/>
    </row>
    <row r="12" spans="1:8" x14ac:dyDescent="0.25">
      <c r="A12" s="83">
        <v>1121</v>
      </c>
      <c r="B12" s="88" t="s">
        <v>78</v>
      </c>
      <c r="C12" s="89">
        <v>0</v>
      </c>
      <c r="D12" s="88"/>
      <c r="E12" s="88"/>
      <c r="F12" s="88"/>
      <c r="G12" s="88"/>
      <c r="H12" s="88"/>
    </row>
    <row r="13" spans="1:8" x14ac:dyDescent="0.25">
      <c r="A13" s="83">
        <v>1211</v>
      </c>
      <c r="B13" s="88" t="s">
        <v>79</v>
      </c>
      <c r="C13" s="89">
        <v>0</v>
      </c>
      <c r="D13" s="88"/>
      <c r="E13" s="88"/>
      <c r="F13" s="88"/>
      <c r="G13" s="88"/>
      <c r="H13" s="88"/>
    </row>
    <row r="15" spans="1:8" x14ac:dyDescent="0.25">
      <c r="A15" s="91" t="s">
        <v>48</v>
      </c>
      <c r="B15" s="91"/>
      <c r="C15" s="91"/>
      <c r="D15" s="91"/>
      <c r="E15" s="91"/>
      <c r="F15" s="91"/>
      <c r="G15" s="91"/>
      <c r="H15" s="91"/>
    </row>
    <row r="16" spans="1:8" ht="33.75" x14ac:dyDescent="0.25">
      <c r="A16" s="92" t="s">
        <v>45</v>
      </c>
      <c r="B16" s="92" t="s">
        <v>42</v>
      </c>
      <c r="C16" s="92" t="s">
        <v>43</v>
      </c>
      <c r="D16" s="92">
        <v>2022</v>
      </c>
      <c r="E16" s="92">
        <v>2021</v>
      </c>
      <c r="F16" s="92">
        <v>2020</v>
      </c>
      <c r="G16" s="92">
        <v>2019</v>
      </c>
      <c r="H16" s="90" t="s">
        <v>74</v>
      </c>
    </row>
    <row r="17" spans="1:8" x14ac:dyDescent="0.25">
      <c r="A17" s="83">
        <v>1122</v>
      </c>
      <c r="B17" s="88" t="s">
        <v>80</v>
      </c>
      <c r="C17" s="89">
        <f>7582966.36+309646.55+393.94</f>
        <v>7893006.8500000006</v>
      </c>
      <c r="D17" s="89">
        <f>7751308.96+309942.55+0.8+662.45</f>
        <v>8061914.7599999998</v>
      </c>
      <c r="E17" s="89">
        <v>0</v>
      </c>
      <c r="F17" s="89">
        <v>0</v>
      </c>
      <c r="G17" s="89">
        <v>0</v>
      </c>
      <c r="H17" s="88"/>
    </row>
    <row r="18" spans="1:8" x14ac:dyDescent="0.25">
      <c r="A18" s="83">
        <v>1124</v>
      </c>
      <c r="B18" s="88" t="s">
        <v>81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8"/>
    </row>
    <row r="20" spans="1:8" x14ac:dyDescent="0.25">
      <c r="A20" s="91" t="s">
        <v>49</v>
      </c>
      <c r="B20" s="91"/>
      <c r="C20" s="91"/>
      <c r="D20" s="91"/>
      <c r="E20" s="91"/>
      <c r="F20" s="91"/>
      <c r="G20" s="91"/>
      <c r="H20" s="91"/>
    </row>
    <row r="21" spans="1:8" x14ac:dyDescent="0.25">
      <c r="A21" s="92" t="s">
        <v>45</v>
      </c>
      <c r="B21" s="92" t="s">
        <v>42</v>
      </c>
      <c r="C21" s="92" t="s">
        <v>43</v>
      </c>
      <c r="D21" s="92" t="s">
        <v>82</v>
      </c>
      <c r="E21" s="92" t="s">
        <v>83</v>
      </c>
      <c r="F21" s="92" t="s">
        <v>84</v>
      </c>
      <c r="G21" s="92" t="s">
        <v>85</v>
      </c>
      <c r="H21" s="92" t="s">
        <v>86</v>
      </c>
    </row>
    <row r="22" spans="1:8" x14ac:dyDescent="0.25">
      <c r="A22" s="83">
        <v>1123</v>
      </c>
      <c r="B22" s="88" t="s">
        <v>87</v>
      </c>
      <c r="C22" s="89">
        <f>37000+172630.19+378+2524.19</f>
        <v>212532.38</v>
      </c>
      <c r="D22" s="89">
        <f>37000+172630.19+378+2524.19</f>
        <v>212532.38</v>
      </c>
      <c r="E22" s="89">
        <v>0</v>
      </c>
      <c r="F22" s="89">
        <v>0</v>
      </c>
      <c r="G22" s="89">
        <v>0</v>
      </c>
      <c r="H22" s="88"/>
    </row>
    <row r="23" spans="1:8" x14ac:dyDescent="0.25">
      <c r="A23" s="83">
        <v>1125</v>
      </c>
      <c r="B23" s="88" t="s">
        <v>88</v>
      </c>
      <c r="C23" s="89">
        <v>17717.59</v>
      </c>
      <c r="D23" s="89">
        <v>17717.59</v>
      </c>
      <c r="E23" s="89">
        <v>0</v>
      </c>
      <c r="F23" s="89">
        <v>0</v>
      </c>
      <c r="G23" s="89">
        <v>0</v>
      </c>
      <c r="H23" s="88"/>
    </row>
    <row r="24" spans="1:8" x14ac:dyDescent="0.25">
      <c r="A24" s="83">
        <v>1126</v>
      </c>
      <c r="B24" s="88" t="s">
        <v>448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8"/>
    </row>
    <row r="25" spans="1:8" x14ac:dyDescent="0.25">
      <c r="A25" s="83">
        <v>1129</v>
      </c>
      <c r="B25" s="88" t="s">
        <v>449</v>
      </c>
      <c r="C25" s="89">
        <f>64168.05+25247.72+360</f>
        <v>89775.77</v>
      </c>
      <c r="D25" s="89">
        <f>64168.05+25247.72+360</f>
        <v>89775.77</v>
      </c>
      <c r="E25" s="89">
        <v>0</v>
      </c>
      <c r="F25" s="89">
        <v>0</v>
      </c>
      <c r="G25" s="89">
        <v>0</v>
      </c>
      <c r="H25" s="88"/>
    </row>
    <row r="26" spans="1:8" x14ac:dyDescent="0.25">
      <c r="A26" s="83">
        <v>1131</v>
      </c>
      <c r="B26" s="88" t="s">
        <v>89</v>
      </c>
      <c r="C26" s="89">
        <v>717500</v>
      </c>
      <c r="D26" s="89">
        <v>717500</v>
      </c>
      <c r="E26" s="89">
        <v>0</v>
      </c>
      <c r="F26" s="89">
        <v>0</v>
      </c>
      <c r="G26" s="89">
        <v>0</v>
      </c>
      <c r="H26" s="88"/>
    </row>
    <row r="27" spans="1:8" x14ac:dyDescent="0.25">
      <c r="A27" s="83">
        <v>1132</v>
      </c>
      <c r="B27" s="88" t="s">
        <v>90</v>
      </c>
      <c r="C27" s="89">
        <v>20880</v>
      </c>
      <c r="D27" s="89">
        <v>20880</v>
      </c>
      <c r="E27" s="89">
        <v>0</v>
      </c>
      <c r="F27" s="89">
        <v>0</v>
      </c>
      <c r="G27" s="89">
        <v>0</v>
      </c>
      <c r="H27" s="88"/>
    </row>
    <row r="28" spans="1:8" x14ac:dyDescent="0.25">
      <c r="A28" s="83">
        <v>1133</v>
      </c>
      <c r="B28" s="88" t="s">
        <v>91</v>
      </c>
      <c r="C28" s="89">
        <v>0</v>
      </c>
      <c r="D28" s="89">
        <v>0</v>
      </c>
      <c r="E28" s="89">
        <v>0</v>
      </c>
      <c r="F28" s="89">
        <v>0</v>
      </c>
      <c r="G28" s="89">
        <v>0</v>
      </c>
      <c r="H28" s="88"/>
    </row>
    <row r="29" spans="1:8" x14ac:dyDescent="0.25">
      <c r="A29" s="83">
        <v>1134</v>
      </c>
      <c r="B29" s="88" t="s">
        <v>92</v>
      </c>
      <c r="C29" s="89">
        <v>7449514.5700000003</v>
      </c>
      <c r="D29" s="89">
        <v>7449514.5700000003</v>
      </c>
      <c r="E29" s="89">
        <v>0</v>
      </c>
      <c r="F29" s="89">
        <v>0</v>
      </c>
      <c r="G29" s="89">
        <v>0</v>
      </c>
      <c r="H29" s="88"/>
    </row>
    <row r="30" spans="1:8" x14ac:dyDescent="0.25">
      <c r="A30" s="83">
        <v>1139</v>
      </c>
      <c r="B30" s="88" t="s">
        <v>93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88"/>
    </row>
    <row r="32" spans="1:8" x14ac:dyDescent="0.25">
      <c r="A32" s="91" t="s">
        <v>450</v>
      </c>
      <c r="B32" s="91"/>
      <c r="C32" s="91"/>
      <c r="D32" s="91"/>
      <c r="E32" s="91"/>
      <c r="F32" s="91"/>
      <c r="G32" s="91"/>
      <c r="H32" s="91"/>
    </row>
    <row r="33" spans="1:8" ht="33.75" x14ac:dyDescent="0.25">
      <c r="A33" s="92" t="s">
        <v>45</v>
      </c>
      <c r="B33" s="92" t="s">
        <v>42</v>
      </c>
      <c r="C33" s="92" t="s">
        <v>43</v>
      </c>
      <c r="D33" s="90" t="s">
        <v>52</v>
      </c>
      <c r="E33" s="90" t="s">
        <v>51</v>
      </c>
      <c r="F33" s="90" t="s">
        <v>94</v>
      </c>
      <c r="G33" s="90" t="s">
        <v>54</v>
      </c>
      <c r="H33" s="90"/>
    </row>
    <row r="34" spans="1:8" x14ac:dyDescent="0.25">
      <c r="A34" s="83">
        <v>1140</v>
      </c>
      <c r="B34" s="88" t="s">
        <v>95</v>
      </c>
      <c r="C34" s="89">
        <f>SUM(C35:C39)</f>
        <v>0</v>
      </c>
      <c r="D34" s="88"/>
      <c r="E34" s="88"/>
      <c r="F34" s="88"/>
      <c r="G34" s="88"/>
      <c r="H34" s="88"/>
    </row>
    <row r="35" spans="1:8" x14ac:dyDescent="0.25">
      <c r="A35" s="83">
        <v>1141</v>
      </c>
      <c r="B35" s="88" t="s">
        <v>96</v>
      </c>
      <c r="C35" s="89">
        <v>0</v>
      </c>
      <c r="D35" s="88"/>
      <c r="E35" s="88"/>
      <c r="F35" s="88"/>
      <c r="G35" s="88"/>
      <c r="H35" s="88"/>
    </row>
    <row r="36" spans="1:8" x14ac:dyDescent="0.25">
      <c r="A36" s="83">
        <v>1142</v>
      </c>
      <c r="B36" s="88" t="s">
        <v>97</v>
      </c>
      <c r="C36" s="89">
        <v>0</v>
      </c>
      <c r="D36" s="88"/>
      <c r="E36" s="88"/>
      <c r="F36" s="88"/>
      <c r="G36" s="88"/>
      <c r="H36" s="88"/>
    </row>
    <row r="37" spans="1:8" x14ac:dyDescent="0.25">
      <c r="A37" s="83">
        <v>1143</v>
      </c>
      <c r="B37" s="88" t="s">
        <v>98</v>
      </c>
      <c r="C37" s="89">
        <v>0</v>
      </c>
      <c r="D37" s="88"/>
      <c r="E37" s="88"/>
      <c r="F37" s="88"/>
      <c r="G37" s="88"/>
      <c r="H37" s="88"/>
    </row>
    <row r="38" spans="1:8" x14ac:dyDescent="0.25">
      <c r="A38" s="83">
        <v>1144</v>
      </c>
      <c r="B38" s="88" t="s">
        <v>99</v>
      </c>
      <c r="C38" s="89">
        <v>0</v>
      </c>
      <c r="D38" s="88"/>
      <c r="E38" s="88"/>
      <c r="F38" s="88"/>
      <c r="G38" s="88"/>
      <c r="H38" s="88"/>
    </row>
    <row r="39" spans="1:8" x14ac:dyDescent="0.25">
      <c r="A39" s="83">
        <v>1145</v>
      </c>
      <c r="B39" s="88" t="s">
        <v>100</v>
      </c>
      <c r="C39" s="89">
        <v>0</v>
      </c>
      <c r="D39" s="88"/>
      <c r="E39" s="88"/>
      <c r="F39" s="88"/>
      <c r="G39" s="88"/>
      <c r="H39" s="88"/>
    </row>
    <row r="41" spans="1:8" x14ac:dyDescent="0.25">
      <c r="A41" s="91" t="s">
        <v>101</v>
      </c>
      <c r="B41" s="91"/>
      <c r="C41" s="91"/>
      <c r="D41" s="91"/>
      <c r="E41" s="91"/>
      <c r="F41" s="91"/>
      <c r="G41" s="91"/>
      <c r="H41" s="91"/>
    </row>
    <row r="42" spans="1:8" ht="22.5" x14ac:dyDescent="0.25">
      <c r="A42" s="92" t="s">
        <v>45</v>
      </c>
      <c r="B42" s="92" t="s">
        <v>42</v>
      </c>
      <c r="C42" s="92" t="s">
        <v>43</v>
      </c>
      <c r="D42" s="92" t="s">
        <v>50</v>
      </c>
      <c r="E42" s="90" t="s">
        <v>53</v>
      </c>
      <c r="F42" s="92" t="s">
        <v>102</v>
      </c>
      <c r="G42" s="92"/>
      <c r="H42" s="92"/>
    </row>
    <row r="43" spans="1:8" x14ac:dyDescent="0.25">
      <c r="A43" s="83">
        <v>1150</v>
      </c>
      <c r="B43" s="88" t="s">
        <v>103</v>
      </c>
      <c r="C43" s="89">
        <f>C44</f>
        <v>10140850.41</v>
      </c>
      <c r="D43" s="88"/>
      <c r="E43" s="88"/>
      <c r="F43" s="88"/>
      <c r="G43" s="88"/>
      <c r="H43" s="88"/>
    </row>
    <row r="44" spans="1:8" x14ac:dyDescent="0.25">
      <c r="A44" s="83">
        <v>1151</v>
      </c>
      <c r="B44" s="88" t="s">
        <v>104</v>
      </c>
      <c r="C44" s="89">
        <f>10115593.09+25257.32</f>
        <v>10140850.41</v>
      </c>
      <c r="D44" s="88" t="s">
        <v>513</v>
      </c>
      <c r="E44" s="88"/>
      <c r="F44" s="88"/>
      <c r="G44" s="88"/>
      <c r="H44" s="88"/>
    </row>
    <row r="46" spans="1:8" x14ac:dyDescent="0.25">
      <c r="A46" s="91" t="s">
        <v>55</v>
      </c>
      <c r="B46" s="91"/>
      <c r="C46" s="91"/>
      <c r="D46" s="91"/>
      <c r="E46" s="91"/>
      <c r="F46" s="91"/>
      <c r="G46" s="91"/>
      <c r="H46" s="91"/>
    </row>
    <row r="47" spans="1:8" x14ac:dyDescent="0.25">
      <c r="A47" s="92" t="s">
        <v>45</v>
      </c>
      <c r="B47" s="92" t="s">
        <v>42</v>
      </c>
      <c r="C47" s="92" t="s">
        <v>43</v>
      </c>
      <c r="D47" s="92" t="s">
        <v>44</v>
      </c>
      <c r="E47" s="92" t="s">
        <v>86</v>
      </c>
      <c r="F47" s="92"/>
      <c r="G47" s="92"/>
      <c r="H47" s="92"/>
    </row>
    <row r="48" spans="1:8" x14ac:dyDescent="0.25">
      <c r="A48" s="83">
        <v>1213</v>
      </c>
      <c r="B48" s="88" t="s">
        <v>105</v>
      </c>
      <c r="C48" s="89">
        <v>0</v>
      </c>
      <c r="D48" s="88"/>
      <c r="E48" s="88"/>
      <c r="F48" s="88"/>
      <c r="G48" s="88"/>
      <c r="H48" s="88"/>
    </row>
    <row r="50" spans="1:9" x14ac:dyDescent="0.25">
      <c r="A50" s="91" t="s">
        <v>56</v>
      </c>
      <c r="B50" s="91"/>
      <c r="C50" s="91"/>
      <c r="D50" s="91"/>
      <c r="E50" s="91"/>
      <c r="F50" s="91"/>
      <c r="G50" s="91"/>
      <c r="H50" s="91"/>
    </row>
    <row r="51" spans="1:9" x14ac:dyDescent="0.25">
      <c r="A51" s="92" t="s">
        <v>45</v>
      </c>
      <c r="B51" s="92" t="s">
        <v>42</v>
      </c>
      <c r="C51" s="92" t="s">
        <v>43</v>
      </c>
      <c r="D51" s="92"/>
      <c r="E51" s="92"/>
      <c r="F51" s="92"/>
      <c r="G51" s="92"/>
      <c r="H51" s="92"/>
    </row>
    <row r="52" spans="1:9" x14ac:dyDescent="0.25">
      <c r="A52" s="83">
        <v>1214</v>
      </c>
      <c r="B52" s="88" t="s">
        <v>106</v>
      </c>
      <c r="C52" s="89">
        <v>0</v>
      </c>
      <c r="D52" s="88"/>
      <c r="E52" s="88"/>
      <c r="F52" s="88"/>
      <c r="G52" s="88"/>
      <c r="H52" s="88"/>
    </row>
    <row r="54" spans="1:9" x14ac:dyDescent="0.25">
      <c r="A54" s="91" t="s">
        <v>60</v>
      </c>
      <c r="B54" s="91"/>
      <c r="C54" s="91"/>
      <c r="D54" s="91"/>
      <c r="E54" s="91"/>
      <c r="F54" s="91"/>
      <c r="G54" s="91"/>
      <c r="H54" s="91"/>
      <c r="I54" s="91"/>
    </row>
    <row r="55" spans="1:9" x14ac:dyDescent="0.25">
      <c r="A55" s="92" t="s">
        <v>45</v>
      </c>
      <c r="B55" s="92" t="s">
        <v>42</v>
      </c>
      <c r="C55" s="92" t="s">
        <v>43</v>
      </c>
      <c r="D55" s="92" t="s">
        <v>57</v>
      </c>
      <c r="E55" s="92" t="s">
        <v>58</v>
      </c>
      <c r="F55" s="92" t="s">
        <v>50</v>
      </c>
      <c r="G55" s="92" t="s">
        <v>107</v>
      </c>
      <c r="H55" s="92" t="s">
        <v>59</v>
      </c>
      <c r="I55" s="92" t="s">
        <v>108</v>
      </c>
    </row>
    <row r="56" spans="1:9" x14ac:dyDescent="0.25">
      <c r="A56" s="83">
        <v>1230</v>
      </c>
      <c r="B56" s="88" t="s">
        <v>109</v>
      </c>
      <c r="C56" s="89">
        <f>SUM(C57:C63)</f>
        <v>530775360.12</v>
      </c>
      <c r="D56" s="89">
        <v>19830695.32</v>
      </c>
      <c r="E56" s="89">
        <v>145656631.87</v>
      </c>
      <c r="F56" s="88"/>
      <c r="G56" s="88"/>
      <c r="H56" s="88"/>
      <c r="I56" s="88"/>
    </row>
    <row r="57" spans="1:9" x14ac:dyDescent="0.25">
      <c r="A57" s="83">
        <v>1231</v>
      </c>
      <c r="B57" s="88" t="s">
        <v>110</v>
      </c>
      <c r="C57" s="89">
        <v>32207208.289999999</v>
      </c>
      <c r="D57" s="89">
        <v>0</v>
      </c>
      <c r="E57" s="89">
        <v>0</v>
      </c>
      <c r="F57" s="88"/>
      <c r="G57" s="88"/>
      <c r="H57" s="88"/>
      <c r="I57" s="88"/>
    </row>
    <row r="58" spans="1:9" x14ac:dyDescent="0.25">
      <c r="A58" s="83">
        <v>1232</v>
      </c>
      <c r="B58" s="88" t="s">
        <v>111</v>
      </c>
      <c r="C58" s="89">
        <v>0</v>
      </c>
      <c r="D58" s="89">
        <v>0</v>
      </c>
      <c r="E58" s="89">
        <v>0</v>
      </c>
      <c r="F58" s="88"/>
      <c r="G58" s="88"/>
      <c r="H58" s="88"/>
      <c r="I58" s="88"/>
    </row>
    <row r="59" spans="1:9" x14ac:dyDescent="0.25">
      <c r="A59" s="83">
        <v>1233</v>
      </c>
      <c r="B59" s="88" t="s">
        <v>112</v>
      </c>
      <c r="C59" s="89">
        <v>31453618.239999998</v>
      </c>
      <c r="D59" s="89">
        <v>0</v>
      </c>
      <c r="E59" s="89">
        <v>0</v>
      </c>
      <c r="F59" s="88"/>
      <c r="G59" s="88"/>
      <c r="H59" s="88"/>
      <c r="I59" s="88"/>
    </row>
    <row r="60" spans="1:9" x14ac:dyDescent="0.25">
      <c r="A60" s="83">
        <v>1234</v>
      </c>
      <c r="B60" s="88" t="s">
        <v>113</v>
      </c>
      <c r="C60" s="89">
        <v>0</v>
      </c>
      <c r="D60" s="89">
        <v>0</v>
      </c>
      <c r="E60" s="89">
        <v>0</v>
      </c>
      <c r="F60" s="88"/>
      <c r="G60" s="88"/>
      <c r="H60" s="88"/>
      <c r="I60" s="88"/>
    </row>
    <row r="61" spans="1:9" x14ac:dyDescent="0.25">
      <c r="A61" s="83">
        <v>1235</v>
      </c>
      <c r="B61" s="88" t="s">
        <v>114</v>
      </c>
      <c r="C61" s="89">
        <f>45401960.41+178119.1</f>
        <v>45580079.509999998</v>
      </c>
      <c r="D61" s="89">
        <v>0</v>
      </c>
      <c r="E61" s="89">
        <v>0</v>
      </c>
      <c r="F61" s="88"/>
      <c r="G61" s="88"/>
      <c r="H61" s="88"/>
      <c r="I61" s="88"/>
    </row>
    <row r="62" spans="1:9" x14ac:dyDescent="0.25">
      <c r="A62" s="83">
        <v>1236</v>
      </c>
      <c r="B62" s="88" t="s">
        <v>115</v>
      </c>
      <c r="C62" s="89">
        <v>17550125.539999999</v>
      </c>
      <c r="D62" s="89">
        <v>0</v>
      </c>
      <c r="E62" s="89">
        <v>0</v>
      </c>
      <c r="F62" s="88"/>
      <c r="G62" s="88"/>
      <c r="H62" s="88"/>
      <c r="I62" s="88"/>
    </row>
    <row r="63" spans="1:9" x14ac:dyDescent="0.25">
      <c r="A63" s="83">
        <v>1239</v>
      </c>
      <c r="B63" s="88" t="s">
        <v>116</v>
      </c>
      <c r="C63" s="89">
        <v>403984328.54000002</v>
      </c>
      <c r="D63" s="89">
        <v>0</v>
      </c>
      <c r="E63" s="89">
        <v>0</v>
      </c>
      <c r="F63" s="88"/>
      <c r="G63" s="88"/>
      <c r="H63" s="88"/>
      <c r="I63" s="88"/>
    </row>
    <row r="64" spans="1:9" x14ac:dyDescent="0.25">
      <c r="A64" s="83">
        <v>1240</v>
      </c>
      <c r="B64" s="88" t="s">
        <v>117</v>
      </c>
      <c r="C64" s="89">
        <f>SUM(C65:C72)</f>
        <v>124462587.16999999</v>
      </c>
      <c r="D64" s="89">
        <f t="shared" ref="D64" si="0">SUM(D65:D72)</f>
        <v>1536248.6199999999</v>
      </c>
      <c r="E64" s="89">
        <f>SUM(E65:E72)</f>
        <v>7760026.0899999999</v>
      </c>
      <c r="F64" s="88" t="s">
        <v>514</v>
      </c>
      <c r="G64" s="88"/>
      <c r="H64" s="88"/>
      <c r="I64" s="88"/>
    </row>
    <row r="65" spans="1:9" x14ac:dyDescent="0.25">
      <c r="A65" s="83">
        <v>1241</v>
      </c>
      <c r="B65" s="88" t="s">
        <v>118</v>
      </c>
      <c r="C65" s="89">
        <f>15129282.75+299598.02+5244200.52+1071383.74+370682.99</f>
        <v>22115148.019999996</v>
      </c>
      <c r="D65" s="89">
        <f>278942+278942</f>
        <v>557884</v>
      </c>
      <c r="E65" s="89">
        <v>303057.02</v>
      </c>
      <c r="F65" s="88" t="s">
        <v>514</v>
      </c>
      <c r="G65" s="88"/>
      <c r="H65" s="88"/>
      <c r="I65" s="88"/>
    </row>
    <row r="66" spans="1:9" x14ac:dyDescent="0.25">
      <c r="A66" s="83">
        <v>1242</v>
      </c>
      <c r="B66" s="88" t="s">
        <v>119</v>
      </c>
      <c r="C66" s="89">
        <f>1319296.03+20367.79+742850.12+133723.03+10399.2</f>
        <v>2226636.17</v>
      </c>
      <c r="D66" s="89">
        <v>24513.72</v>
      </c>
      <c r="E66" s="89">
        <v>26965.69</v>
      </c>
      <c r="F66" s="88" t="s">
        <v>514</v>
      </c>
      <c r="G66" s="88"/>
      <c r="H66" s="88"/>
      <c r="I66" s="88"/>
    </row>
    <row r="67" spans="1:9" x14ac:dyDescent="0.25">
      <c r="A67" s="83">
        <v>1243</v>
      </c>
      <c r="B67" s="88" t="s">
        <v>120</v>
      </c>
      <c r="C67" s="89">
        <f>1149956.35+147886.61+74667.13</f>
        <v>1372510.0899999999</v>
      </c>
      <c r="D67" s="89">
        <v>0</v>
      </c>
      <c r="E67" s="89">
        <v>0</v>
      </c>
      <c r="F67" s="88" t="s">
        <v>514</v>
      </c>
      <c r="G67" s="88"/>
      <c r="H67" s="88"/>
      <c r="I67" s="88"/>
    </row>
    <row r="68" spans="1:9" x14ac:dyDescent="0.25">
      <c r="A68" s="83">
        <v>1244</v>
      </c>
      <c r="B68" s="88" t="s">
        <v>121</v>
      </c>
      <c r="C68" s="89">
        <f>55853558.64+356900+4964191.74</f>
        <v>61174650.380000003</v>
      </c>
      <c r="D68" s="89">
        <v>0</v>
      </c>
      <c r="E68" s="89">
        <v>0</v>
      </c>
      <c r="F68" s="88" t="s">
        <v>514</v>
      </c>
      <c r="G68" s="88"/>
      <c r="H68" s="88"/>
      <c r="I68" s="88"/>
    </row>
    <row r="69" spans="1:9" x14ac:dyDescent="0.25">
      <c r="A69" s="83">
        <v>1245</v>
      </c>
      <c r="B69" s="88" t="s">
        <v>122</v>
      </c>
      <c r="C69" s="89">
        <f>485+6029</f>
        <v>6514</v>
      </c>
      <c r="D69" s="89">
        <f>96970.35+802793.18+50475.59</f>
        <v>950239.12</v>
      </c>
      <c r="E69" s="89">
        <f>390895.48+6725488.7+309706.46</f>
        <v>7426090.6399999997</v>
      </c>
      <c r="F69" s="88" t="s">
        <v>514</v>
      </c>
      <c r="G69" s="88"/>
      <c r="H69" s="88"/>
      <c r="I69" s="88"/>
    </row>
    <row r="70" spans="1:9" x14ac:dyDescent="0.25">
      <c r="A70" s="83">
        <v>1246</v>
      </c>
      <c r="B70" s="88" t="s">
        <v>123</v>
      </c>
      <c r="C70" s="89">
        <f>37018828.3+6491.01+478546.77+36117.43</f>
        <v>37539983.509999998</v>
      </c>
      <c r="D70" s="89">
        <v>3611.78</v>
      </c>
      <c r="E70" s="89">
        <v>3912.74</v>
      </c>
      <c r="F70" s="88" t="s">
        <v>514</v>
      </c>
      <c r="G70" s="88"/>
      <c r="H70" s="88"/>
      <c r="I70" s="88"/>
    </row>
    <row r="71" spans="1:9" x14ac:dyDescent="0.25">
      <c r="A71" s="83">
        <v>1247</v>
      </c>
      <c r="B71" s="88" t="s">
        <v>124</v>
      </c>
      <c r="C71" s="89">
        <v>27145</v>
      </c>
      <c r="D71" s="89">
        <v>0</v>
      </c>
      <c r="E71" s="89">
        <v>0</v>
      </c>
      <c r="F71" s="88"/>
      <c r="G71" s="88"/>
      <c r="H71" s="88"/>
      <c r="I71" s="88"/>
    </row>
    <row r="72" spans="1:9" x14ac:dyDescent="0.25">
      <c r="A72" s="83">
        <v>1248</v>
      </c>
      <c r="B72" s="88" t="s">
        <v>125</v>
      </c>
      <c r="C72" s="89">
        <v>0</v>
      </c>
      <c r="D72" s="89">
        <v>0</v>
      </c>
      <c r="E72" s="89">
        <v>0</v>
      </c>
      <c r="F72" s="88"/>
      <c r="G72" s="88"/>
      <c r="H72" s="88"/>
      <c r="I72" s="88"/>
    </row>
    <row r="73" spans="1:9" x14ac:dyDescent="0.25">
      <c r="A73" s="88"/>
      <c r="B73" s="88"/>
      <c r="C73" s="88"/>
      <c r="D73" s="88"/>
      <c r="E73" s="88"/>
      <c r="F73" s="88"/>
      <c r="G73" s="88"/>
      <c r="H73" s="88"/>
      <c r="I73" s="88"/>
    </row>
    <row r="74" spans="1:9" x14ac:dyDescent="0.25">
      <c r="A74" s="91" t="s">
        <v>61</v>
      </c>
      <c r="B74" s="91"/>
      <c r="C74" s="91"/>
      <c r="D74" s="91"/>
      <c r="E74" s="91"/>
      <c r="F74" s="91"/>
      <c r="G74" s="91"/>
      <c r="H74" s="91"/>
      <c r="I74" s="91"/>
    </row>
    <row r="75" spans="1:9" x14ac:dyDescent="0.25">
      <c r="A75" s="92" t="s">
        <v>45</v>
      </c>
      <c r="B75" s="92" t="s">
        <v>42</v>
      </c>
      <c r="C75" s="92" t="s">
        <v>43</v>
      </c>
      <c r="D75" s="92" t="s">
        <v>62</v>
      </c>
      <c r="E75" s="92" t="s">
        <v>126</v>
      </c>
      <c r="F75" s="92" t="s">
        <v>50</v>
      </c>
      <c r="G75" s="92" t="s">
        <v>107</v>
      </c>
      <c r="H75" s="92" t="s">
        <v>59</v>
      </c>
      <c r="I75" s="92" t="s">
        <v>108</v>
      </c>
    </row>
    <row r="76" spans="1:9" x14ac:dyDescent="0.25">
      <c r="A76" s="83">
        <v>1250</v>
      </c>
      <c r="B76" s="88" t="s">
        <v>127</v>
      </c>
      <c r="C76" s="89">
        <f>SUM(C77:C81)</f>
        <v>5195160.25</v>
      </c>
      <c r="D76" s="89">
        <v>205490.14</v>
      </c>
      <c r="E76" s="89">
        <v>3215788.09</v>
      </c>
      <c r="F76" s="88"/>
      <c r="G76" s="88"/>
      <c r="H76" s="88"/>
      <c r="I76" s="88"/>
    </row>
    <row r="77" spans="1:9" x14ac:dyDescent="0.25">
      <c r="A77" s="83">
        <v>1251</v>
      </c>
      <c r="B77" s="88" t="s">
        <v>128</v>
      </c>
      <c r="C77" s="89">
        <f>3838920.31+25212+25494.8+290000</f>
        <v>4179627.11</v>
      </c>
      <c r="D77" s="89">
        <v>0</v>
      </c>
      <c r="E77" s="89">
        <v>0</v>
      </c>
      <c r="F77" s="88"/>
      <c r="G77" s="88"/>
      <c r="H77" s="88"/>
      <c r="I77" s="88"/>
    </row>
    <row r="78" spans="1:9" x14ac:dyDescent="0.25">
      <c r="A78" s="83">
        <v>1252</v>
      </c>
      <c r="B78" s="88" t="s">
        <v>129</v>
      </c>
      <c r="C78" s="89">
        <v>0</v>
      </c>
      <c r="D78" s="89">
        <v>0</v>
      </c>
      <c r="E78" s="89">
        <v>0</v>
      </c>
      <c r="F78" s="88"/>
      <c r="G78" s="88"/>
      <c r="H78" s="88"/>
      <c r="I78" s="88"/>
    </row>
    <row r="79" spans="1:9" x14ac:dyDescent="0.25">
      <c r="A79" s="83">
        <v>1253</v>
      </c>
      <c r="B79" s="88" t="s">
        <v>130</v>
      </c>
      <c r="C79" s="89">
        <v>0</v>
      </c>
      <c r="D79" s="89">
        <v>0</v>
      </c>
      <c r="E79" s="89">
        <v>0</v>
      </c>
      <c r="F79" s="88"/>
      <c r="G79" s="88"/>
      <c r="H79" s="88"/>
      <c r="I79" s="88"/>
    </row>
    <row r="80" spans="1:9" x14ac:dyDescent="0.25">
      <c r="A80" s="83">
        <v>1254</v>
      </c>
      <c r="B80" s="88" t="s">
        <v>131</v>
      </c>
      <c r="C80" s="89">
        <f>746727.97+141212+84593.17+43000</f>
        <v>1015533.14</v>
      </c>
      <c r="D80" s="89">
        <f>11600+4300</f>
        <v>15900</v>
      </c>
      <c r="E80" s="89">
        <v>0</v>
      </c>
      <c r="F80" s="88"/>
      <c r="G80" s="88"/>
      <c r="H80" s="88"/>
      <c r="I80" s="88"/>
    </row>
    <row r="81" spans="1:9" x14ac:dyDescent="0.25">
      <c r="A81" s="83">
        <v>1259</v>
      </c>
      <c r="B81" s="88" t="s">
        <v>132</v>
      </c>
      <c r="C81" s="89">
        <v>0</v>
      </c>
      <c r="D81" s="89">
        <v>0</v>
      </c>
      <c r="E81" s="89">
        <v>0</v>
      </c>
      <c r="F81" s="88"/>
      <c r="G81" s="88"/>
      <c r="H81" s="88"/>
      <c r="I81" s="88"/>
    </row>
    <row r="82" spans="1:9" x14ac:dyDescent="0.25">
      <c r="A82" s="83">
        <v>1270</v>
      </c>
      <c r="B82" s="88" t="s">
        <v>133</v>
      </c>
      <c r="C82" s="89">
        <f>SUM(C83:C88)</f>
        <v>5031532.91</v>
      </c>
      <c r="D82" s="89">
        <f>SUM(D83:D88)</f>
        <v>0</v>
      </c>
      <c r="E82" s="89">
        <f>SUM(E83:E88)</f>
        <v>0</v>
      </c>
      <c r="F82" s="88"/>
      <c r="G82" s="88"/>
      <c r="H82" s="88"/>
      <c r="I82" s="88"/>
    </row>
    <row r="83" spans="1:9" x14ac:dyDescent="0.25">
      <c r="A83" s="83">
        <v>1271</v>
      </c>
      <c r="B83" s="88" t="s">
        <v>134</v>
      </c>
      <c r="C83" s="89">
        <v>4467545.26</v>
      </c>
      <c r="D83" s="89">
        <v>0</v>
      </c>
      <c r="E83" s="89">
        <v>0</v>
      </c>
      <c r="F83" s="88"/>
      <c r="G83" s="88"/>
      <c r="H83" s="88"/>
      <c r="I83" s="88"/>
    </row>
    <row r="84" spans="1:9" x14ac:dyDescent="0.25">
      <c r="A84" s="83">
        <v>1272</v>
      </c>
      <c r="B84" s="88" t="s">
        <v>135</v>
      </c>
      <c r="C84" s="89">
        <v>0</v>
      </c>
      <c r="D84" s="89">
        <v>0</v>
      </c>
      <c r="E84" s="89">
        <v>0</v>
      </c>
      <c r="F84" s="88"/>
      <c r="G84" s="88"/>
      <c r="H84" s="88"/>
      <c r="I84" s="88"/>
    </row>
    <row r="85" spans="1:9" x14ac:dyDescent="0.25">
      <c r="A85" s="83">
        <v>1273</v>
      </c>
      <c r="B85" s="88" t="s">
        <v>136</v>
      </c>
      <c r="C85" s="89">
        <v>0</v>
      </c>
      <c r="D85" s="89">
        <v>0</v>
      </c>
      <c r="E85" s="89">
        <v>0</v>
      </c>
      <c r="F85" s="88"/>
      <c r="G85" s="88"/>
      <c r="H85" s="88"/>
      <c r="I85" s="88"/>
    </row>
    <row r="86" spans="1:9" x14ac:dyDescent="0.25">
      <c r="A86" s="83">
        <v>1274</v>
      </c>
      <c r="B86" s="88" t="s">
        <v>137</v>
      </c>
      <c r="C86" s="89">
        <v>0</v>
      </c>
      <c r="D86" s="89">
        <v>0</v>
      </c>
      <c r="E86" s="89">
        <v>0</v>
      </c>
      <c r="F86" s="88"/>
      <c r="G86" s="88"/>
      <c r="H86" s="88"/>
      <c r="I86" s="88"/>
    </row>
    <row r="87" spans="1:9" x14ac:dyDescent="0.25">
      <c r="A87" s="83">
        <v>1275</v>
      </c>
      <c r="B87" s="88" t="s">
        <v>138</v>
      </c>
      <c r="C87" s="89">
        <v>0</v>
      </c>
      <c r="D87" s="89">
        <v>0</v>
      </c>
      <c r="E87" s="89">
        <v>0</v>
      </c>
      <c r="F87" s="88"/>
      <c r="G87" s="88"/>
      <c r="H87" s="88"/>
      <c r="I87" s="88"/>
    </row>
    <row r="88" spans="1:9" x14ac:dyDescent="0.25">
      <c r="A88" s="83">
        <v>1279</v>
      </c>
      <c r="B88" s="88" t="s">
        <v>139</v>
      </c>
      <c r="C88" s="89">
        <v>563987.65</v>
      </c>
      <c r="D88" s="89">
        <v>0</v>
      </c>
      <c r="E88" s="89">
        <v>0</v>
      </c>
      <c r="F88" s="88"/>
      <c r="G88" s="88"/>
      <c r="H88" s="88"/>
      <c r="I88" s="88"/>
    </row>
    <row r="90" spans="1:9" x14ac:dyDescent="0.25">
      <c r="A90" s="91" t="s">
        <v>63</v>
      </c>
      <c r="B90" s="91"/>
      <c r="C90" s="91"/>
      <c r="D90" s="91"/>
      <c r="E90" s="91"/>
      <c r="F90" s="91"/>
      <c r="G90" s="91"/>
      <c r="H90" s="91"/>
    </row>
    <row r="91" spans="1:9" x14ac:dyDescent="0.25">
      <c r="A91" s="92" t="s">
        <v>45</v>
      </c>
      <c r="B91" s="92" t="s">
        <v>42</v>
      </c>
      <c r="C91" s="92" t="s">
        <v>43</v>
      </c>
      <c r="D91" s="92" t="s">
        <v>140</v>
      </c>
      <c r="E91" s="92"/>
      <c r="F91" s="92"/>
      <c r="G91" s="92"/>
      <c r="H91" s="92"/>
    </row>
    <row r="92" spans="1:9" x14ac:dyDescent="0.25">
      <c r="A92" s="83">
        <v>1160</v>
      </c>
      <c r="B92" s="88" t="s">
        <v>141</v>
      </c>
      <c r="C92" s="89">
        <f>SUM(C93:C94)</f>
        <v>0</v>
      </c>
      <c r="D92" s="88"/>
      <c r="E92" s="88"/>
      <c r="F92" s="88"/>
      <c r="G92" s="88"/>
      <c r="H92" s="88"/>
    </row>
    <row r="93" spans="1:9" x14ac:dyDescent="0.25">
      <c r="A93" s="83">
        <v>1161</v>
      </c>
      <c r="B93" s="88" t="s">
        <v>142</v>
      </c>
      <c r="C93" s="89">
        <v>0</v>
      </c>
      <c r="D93" s="88"/>
      <c r="E93" s="88"/>
      <c r="F93" s="88"/>
      <c r="G93" s="88"/>
      <c r="H93" s="88"/>
    </row>
    <row r="94" spans="1:9" x14ac:dyDescent="0.25">
      <c r="A94" s="83">
        <v>1162</v>
      </c>
      <c r="B94" s="88" t="s">
        <v>143</v>
      </c>
      <c r="C94" s="89">
        <v>0</v>
      </c>
      <c r="D94" s="88"/>
      <c r="E94" s="88"/>
      <c r="F94" s="88"/>
      <c r="G94" s="88"/>
      <c r="H94" s="88"/>
    </row>
    <row r="96" spans="1:9" x14ac:dyDescent="0.25">
      <c r="A96" s="91" t="s">
        <v>451</v>
      </c>
      <c r="B96" s="91"/>
      <c r="C96" s="91"/>
      <c r="D96" s="91"/>
      <c r="E96" s="91"/>
      <c r="F96" s="91"/>
      <c r="G96" s="91"/>
      <c r="H96" s="91"/>
    </row>
    <row r="97" spans="1:8" x14ac:dyDescent="0.25">
      <c r="A97" s="92" t="s">
        <v>45</v>
      </c>
      <c r="B97" s="92" t="s">
        <v>42</v>
      </c>
      <c r="C97" s="92" t="s">
        <v>43</v>
      </c>
      <c r="D97" s="92" t="s">
        <v>86</v>
      </c>
      <c r="E97" s="92"/>
      <c r="F97" s="92"/>
      <c r="G97" s="92"/>
      <c r="H97" s="92"/>
    </row>
    <row r="98" spans="1:8" x14ac:dyDescent="0.25">
      <c r="A98" s="83">
        <v>1190</v>
      </c>
      <c r="B98" s="88" t="s">
        <v>459</v>
      </c>
      <c r="C98" s="89">
        <f>SUM(C99:C102)</f>
        <v>0</v>
      </c>
      <c r="D98" s="88"/>
      <c r="E98" s="88"/>
      <c r="F98" s="88"/>
      <c r="G98" s="88"/>
      <c r="H98" s="88"/>
    </row>
    <row r="99" spans="1:8" x14ac:dyDescent="0.25">
      <c r="A99" s="83">
        <v>1191</v>
      </c>
      <c r="B99" s="88" t="s">
        <v>452</v>
      </c>
      <c r="C99" s="89">
        <v>0</v>
      </c>
      <c r="D99" s="88"/>
      <c r="E99" s="88"/>
      <c r="F99" s="88"/>
      <c r="G99" s="88"/>
      <c r="H99" s="88"/>
    </row>
    <row r="100" spans="1:8" x14ac:dyDescent="0.25">
      <c r="A100" s="83">
        <v>1192</v>
      </c>
      <c r="B100" s="88" t="s">
        <v>453</v>
      </c>
      <c r="C100" s="89">
        <v>0</v>
      </c>
      <c r="D100" s="88"/>
      <c r="E100" s="88"/>
      <c r="F100" s="88"/>
      <c r="G100" s="88"/>
      <c r="H100" s="88"/>
    </row>
    <row r="101" spans="1:8" x14ac:dyDescent="0.25">
      <c r="A101" s="83">
        <v>1193</v>
      </c>
      <c r="B101" s="88" t="s">
        <v>454</v>
      </c>
      <c r="C101" s="89">
        <v>0</v>
      </c>
      <c r="D101" s="88"/>
      <c r="E101" s="88"/>
      <c r="F101" s="88"/>
      <c r="G101" s="88"/>
      <c r="H101" s="88"/>
    </row>
    <row r="102" spans="1:8" x14ac:dyDescent="0.25">
      <c r="A102" s="83">
        <v>1194</v>
      </c>
      <c r="B102" s="88" t="s">
        <v>455</v>
      </c>
      <c r="C102" s="89">
        <v>0</v>
      </c>
      <c r="D102" s="88"/>
      <c r="E102" s="88"/>
      <c r="F102" s="88"/>
      <c r="G102" s="88"/>
      <c r="H102" s="88"/>
    </row>
    <row r="103" spans="1:8" x14ac:dyDescent="0.25">
      <c r="A103" s="91" t="s">
        <v>476</v>
      </c>
      <c r="C103" s="93"/>
    </row>
    <row r="104" spans="1:8" x14ac:dyDescent="0.25">
      <c r="A104" s="92" t="s">
        <v>45</v>
      </c>
      <c r="B104" s="92" t="s">
        <v>42</v>
      </c>
      <c r="C104" s="92" t="s">
        <v>43</v>
      </c>
      <c r="D104" s="92" t="s">
        <v>86</v>
      </c>
      <c r="E104" s="92"/>
      <c r="F104" s="92"/>
      <c r="G104" s="92"/>
      <c r="H104" s="92"/>
    </row>
    <row r="105" spans="1:8" x14ac:dyDescent="0.25">
      <c r="A105" s="83">
        <v>1290</v>
      </c>
      <c r="B105" s="88" t="s">
        <v>144</v>
      </c>
      <c r="C105" s="89">
        <f>SUM(C106:C108)</f>
        <v>0</v>
      </c>
      <c r="D105" s="88"/>
      <c r="E105" s="88"/>
      <c r="F105" s="88"/>
      <c r="G105" s="88"/>
      <c r="H105" s="88"/>
    </row>
    <row r="106" spans="1:8" x14ac:dyDescent="0.25">
      <c r="A106" s="83">
        <v>1291</v>
      </c>
      <c r="B106" s="88" t="s">
        <v>145</v>
      </c>
      <c r="C106" s="89">
        <v>0</v>
      </c>
      <c r="D106" s="88"/>
      <c r="E106" s="88"/>
      <c r="F106" s="88"/>
      <c r="G106" s="88"/>
      <c r="H106" s="88"/>
    </row>
    <row r="107" spans="1:8" x14ac:dyDescent="0.25">
      <c r="A107" s="83">
        <v>1292</v>
      </c>
      <c r="B107" s="88" t="s">
        <v>146</v>
      </c>
      <c r="C107" s="89">
        <v>0</v>
      </c>
      <c r="D107" s="88"/>
      <c r="E107" s="88"/>
      <c r="F107" s="88"/>
      <c r="G107" s="88"/>
      <c r="H107" s="88"/>
    </row>
    <row r="108" spans="1:8" x14ac:dyDescent="0.25">
      <c r="A108" s="83">
        <v>1293</v>
      </c>
      <c r="B108" s="88" t="s">
        <v>147</v>
      </c>
      <c r="C108" s="89">
        <v>0</v>
      </c>
      <c r="D108" s="88"/>
      <c r="E108" s="88"/>
      <c r="F108" s="88"/>
      <c r="G108" s="88"/>
      <c r="H108" s="88"/>
    </row>
    <row r="110" spans="1:8" x14ac:dyDescent="0.25">
      <c r="A110" s="91" t="s">
        <v>64</v>
      </c>
      <c r="B110" s="91"/>
      <c r="C110" s="91"/>
      <c r="D110" s="91"/>
      <c r="E110" s="91"/>
      <c r="F110" s="91"/>
      <c r="G110" s="91"/>
      <c r="H110" s="91"/>
    </row>
    <row r="111" spans="1:8" x14ac:dyDescent="0.25">
      <c r="A111" s="92" t="s">
        <v>45</v>
      </c>
      <c r="B111" s="92" t="s">
        <v>42</v>
      </c>
      <c r="C111" s="92" t="s">
        <v>43</v>
      </c>
      <c r="D111" s="92" t="s">
        <v>82</v>
      </c>
      <c r="E111" s="92" t="s">
        <v>83</v>
      </c>
      <c r="F111" s="92" t="s">
        <v>84</v>
      </c>
      <c r="G111" s="92" t="s">
        <v>148</v>
      </c>
      <c r="H111" s="92" t="s">
        <v>149</v>
      </c>
    </row>
    <row r="112" spans="1:8" x14ac:dyDescent="0.25">
      <c r="A112" s="83">
        <v>2110</v>
      </c>
      <c r="B112" s="88" t="s">
        <v>150</v>
      </c>
      <c r="C112" s="89">
        <f>SUM(C113:C121)</f>
        <v>17945085.009999998</v>
      </c>
      <c r="D112" s="89">
        <f>SUM(D113:D121)</f>
        <v>17945085.009999998</v>
      </c>
      <c r="E112" s="89">
        <f>SUM(E113:E121)</f>
        <v>0</v>
      </c>
      <c r="F112" s="89">
        <f>SUM(F113:F121)</f>
        <v>0</v>
      </c>
      <c r="G112" s="89">
        <f>SUM(G113:G121)</f>
        <v>0</v>
      </c>
      <c r="H112" s="88"/>
    </row>
    <row r="113" spans="1:8" x14ac:dyDescent="0.25">
      <c r="A113" s="83">
        <v>2111</v>
      </c>
      <c r="B113" s="88" t="s">
        <v>151</v>
      </c>
      <c r="C113" s="89">
        <f>1184742.04+20726.31</f>
        <v>1205468.3500000001</v>
      </c>
      <c r="D113" s="89">
        <f>C113</f>
        <v>1205468.3500000001</v>
      </c>
      <c r="E113" s="89">
        <v>0</v>
      </c>
      <c r="F113" s="89">
        <v>0</v>
      </c>
      <c r="G113" s="89">
        <v>0</v>
      </c>
      <c r="H113" s="88"/>
    </row>
    <row r="114" spans="1:8" x14ac:dyDescent="0.25">
      <c r="A114" s="83">
        <v>2112</v>
      </c>
      <c r="B114" s="88" t="s">
        <v>152</v>
      </c>
      <c r="C114" s="89">
        <f>2422622.4+21345.68+1134598.21+222984.94+50608</f>
        <v>3852159.23</v>
      </c>
      <c r="D114" s="89">
        <f t="shared" ref="D114:D121" si="1">C114</f>
        <v>3852159.23</v>
      </c>
      <c r="E114" s="89">
        <v>0</v>
      </c>
      <c r="F114" s="89">
        <v>0</v>
      </c>
      <c r="G114" s="89">
        <v>0</v>
      </c>
      <c r="H114" s="88"/>
    </row>
    <row r="115" spans="1:8" x14ac:dyDescent="0.25">
      <c r="A115" s="83">
        <v>2113</v>
      </c>
      <c r="B115" s="88" t="s">
        <v>153</v>
      </c>
      <c r="C115" s="89">
        <v>0</v>
      </c>
      <c r="D115" s="89">
        <f t="shared" si="1"/>
        <v>0</v>
      </c>
      <c r="E115" s="89">
        <v>0</v>
      </c>
      <c r="F115" s="89">
        <v>0</v>
      </c>
      <c r="G115" s="89">
        <v>0</v>
      </c>
      <c r="H115" s="88"/>
    </row>
    <row r="116" spans="1:8" x14ac:dyDescent="0.25">
      <c r="A116" s="83">
        <v>2114</v>
      </c>
      <c r="B116" s="88" t="s">
        <v>154</v>
      </c>
      <c r="C116" s="89">
        <v>0</v>
      </c>
      <c r="D116" s="89">
        <f t="shared" si="1"/>
        <v>0</v>
      </c>
      <c r="E116" s="89">
        <v>0</v>
      </c>
      <c r="F116" s="89">
        <v>0</v>
      </c>
      <c r="G116" s="89">
        <v>0</v>
      </c>
      <c r="H116" s="88"/>
    </row>
    <row r="117" spans="1:8" x14ac:dyDescent="0.25">
      <c r="A117" s="83">
        <v>2115</v>
      </c>
      <c r="B117" s="88" t="s">
        <v>155</v>
      </c>
      <c r="C117" s="89">
        <v>0</v>
      </c>
      <c r="D117" s="89">
        <f t="shared" si="1"/>
        <v>0</v>
      </c>
      <c r="E117" s="89">
        <v>0</v>
      </c>
      <c r="F117" s="89">
        <v>0</v>
      </c>
      <c r="G117" s="89">
        <v>0</v>
      </c>
      <c r="H117" s="88"/>
    </row>
    <row r="118" spans="1:8" x14ac:dyDescent="0.25">
      <c r="A118" s="83">
        <v>2116</v>
      </c>
      <c r="B118" s="88" t="s">
        <v>156</v>
      </c>
      <c r="C118" s="89">
        <v>0</v>
      </c>
      <c r="D118" s="89">
        <f t="shared" si="1"/>
        <v>0</v>
      </c>
      <c r="E118" s="89">
        <v>0</v>
      </c>
      <c r="F118" s="89">
        <v>0</v>
      </c>
      <c r="G118" s="89">
        <v>0</v>
      </c>
      <c r="H118" s="88"/>
    </row>
    <row r="119" spans="1:8" x14ac:dyDescent="0.25">
      <c r="A119" s="83">
        <v>2117</v>
      </c>
      <c r="B119" s="88" t="s">
        <v>157</v>
      </c>
      <c r="C119" s="89">
        <f>3118858.87+23701.08+802969.1+134803.81+94723.23</f>
        <v>4175056.0900000003</v>
      </c>
      <c r="D119" s="89">
        <f t="shared" si="1"/>
        <v>4175056.0900000003</v>
      </c>
      <c r="E119" s="89">
        <v>0</v>
      </c>
      <c r="F119" s="89">
        <v>0</v>
      </c>
      <c r="G119" s="89">
        <v>0</v>
      </c>
      <c r="H119" s="88"/>
    </row>
    <row r="120" spans="1:8" x14ac:dyDescent="0.25">
      <c r="A120" s="83">
        <v>2118</v>
      </c>
      <c r="B120" s="88" t="s">
        <v>158</v>
      </c>
      <c r="C120" s="89">
        <v>0</v>
      </c>
      <c r="D120" s="89">
        <f t="shared" si="1"/>
        <v>0</v>
      </c>
      <c r="E120" s="89">
        <v>0</v>
      </c>
      <c r="F120" s="89">
        <v>0</v>
      </c>
      <c r="G120" s="89">
        <v>0</v>
      </c>
      <c r="H120" s="88"/>
    </row>
    <row r="121" spans="1:8" x14ac:dyDescent="0.25">
      <c r="A121" s="83">
        <v>2119</v>
      </c>
      <c r="B121" s="88" t="s">
        <v>159</v>
      </c>
      <c r="C121" s="89">
        <f>4679330.7+1287171.11+2745899.53</f>
        <v>8712401.3399999999</v>
      </c>
      <c r="D121" s="89">
        <f t="shared" si="1"/>
        <v>8712401.3399999999</v>
      </c>
      <c r="E121" s="89">
        <v>0</v>
      </c>
      <c r="F121" s="89">
        <v>0</v>
      </c>
      <c r="G121" s="89">
        <v>0</v>
      </c>
      <c r="H121" s="88"/>
    </row>
    <row r="122" spans="1:8" x14ac:dyDescent="0.25">
      <c r="A122" s="83">
        <v>2120</v>
      </c>
      <c r="B122" s="88" t="s">
        <v>160</v>
      </c>
      <c r="C122" s="89">
        <f>SUM(C123:C125)</f>
        <v>0</v>
      </c>
      <c r="D122" s="89">
        <f t="shared" ref="D122:G122" si="2">SUM(D123:D125)</f>
        <v>0</v>
      </c>
      <c r="E122" s="89">
        <f t="shared" si="2"/>
        <v>0</v>
      </c>
      <c r="F122" s="89">
        <f t="shared" si="2"/>
        <v>0</v>
      </c>
      <c r="G122" s="89">
        <f t="shared" si="2"/>
        <v>0</v>
      </c>
      <c r="H122" s="88"/>
    </row>
    <row r="123" spans="1:8" x14ac:dyDescent="0.25">
      <c r="A123" s="83">
        <v>2121</v>
      </c>
      <c r="B123" s="88" t="s">
        <v>161</v>
      </c>
      <c r="C123" s="89">
        <v>0</v>
      </c>
      <c r="D123" s="89">
        <f>C123</f>
        <v>0</v>
      </c>
      <c r="E123" s="89">
        <v>0</v>
      </c>
      <c r="F123" s="89">
        <v>0</v>
      </c>
      <c r="G123" s="89">
        <v>0</v>
      </c>
      <c r="H123" s="88"/>
    </row>
    <row r="124" spans="1:8" x14ac:dyDescent="0.25">
      <c r="A124" s="83">
        <v>2122</v>
      </c>
      <c r="B124" s="88" t="s">
        <v>162</v>
      </c>
      <c r="C124" s="89">
        <v>0</v>
      </c>
      <c r="D124" s="89">
        <f t="shared" ref="D124:D125" si="3">C124</f>
        <v>0</v>
      </c>
      <c r="E124" s="89">
        <v>0</v>
      </c>
      <c r="F124" s="89">
        <v>0</v>
      </c>
      <c r="G124" s="89">
        <v>0</v>
      </c>
      <c r="H124" s="88"/>
    </row>
    <row r="125" spans="1:8" x14ac:dyDescent="0.25">
      <c r="A125" s="83">
        <v>2129</v>
      </c>
      <c r="B125" s="88" t="s">
        <v>163</v>
      </c>
      <c r="C125" s="89">
        <v>0</v>
      </c>
      <c r="D125" s="89">
        <f t="shared" si="3"/>
        <v>0</v>
      </c>
      <c r="E125" s="89">
        <v>0</v>
      </c>
      <c r="F125" s="89">
        <v>0</v>
      </c>
      <c r="G125" s="89">
        <v>0</v>
      </c>
      <c r="H125" s="88"/>
    </row>
    <row r="127" spans="1:8" x14ac:dyDescent="0.25">
      <c r="A127" s="91" t="s">
        <v>65</v>
      </c>
      <c r="B127" s="91"/>
      <c r="C127" s="91"/>
      <c r="D127" s="91"/>
      <c r="E127" s="91"/>
      <c r="F127" s="91"/>
      <c r="G127" s="91"/>
      <c r="H127" s="91"/>
    </row>
    <row r="128" spans="1:8" x14ac:dyDescent="0.25">
      <c r="A128" s="92" t="s">
        <v>45</v>
      </c>
      <c r="B128" s="92" t="s">
        <v>42</v>
      </c>
      <c r="C128" s="92" t="s">
        <v>43</v>
      </c>
      <c r="D128" s="92" t="s">
        <v>46</v>
      </c>
      <c r="E128" s="92" t="s">
        <v>86</v>
      </c>
      <c r="F128" s="92"/>
      <c r="G128" s="92"/>
      <c r="H128" s="92"/>
    </row>
    <row r="129" spans="1:8" x14ac:dyDescent="0.25">
      <c r="A129" s="83">
        <v>2160</v>
      </c>
      <c r="B129" s="88" t="s">
        <v>164</v>
      </c>
      <c r="C129" s="89">
        <f>SUM(C130:C135)</f>
        <v>0</v>
      </c>
      <c r="D129" s="88"/>
      <c r="E129" s="88"/>
      <c r="F129" s="88"/>
      <c r="G129" s="88"/>
      <c r="H129" s="88"/>
    </row>
    <row r="130" spans="1:8" x14ac:dyDescent="0.25">
      <c r="A130" s="83">
        <v>2161</v>
      </c>
      <c r="B130" s="88" t="s">
        <v>165</v>
      </c>
      <c r="C130" s="89">
        <v>0</v>
      </c>
      <c r="D130" s="88"/>
      <c r="E130" s="88"/>
      <c r="F130" s="88"/>
      <c r="G130" s="88"/>
      <c r="H130" s="88"/>
    </row>
    <row r="131" spans="1:8" x14ac:dyDescent="0.25">
      <c r="A131" s="83">
        <v>2162</v>
      </c>
      <c r="B131" s="88" t="s">
        <v>166</v>
      </c>
      <c r="C131" s="89">
        <v>0</v>
      </c>
      <c r="D131" s="88"/>
      <c r="E131" s="88"/>
      <c r="F131" s="88"/>
      <c r="G131" s="88"/>
      <c r="H131" s="88"/>
    </row>
    <row r="132" spans="1:8" x14ac:dyDescent="0.25">
      <c r="A132" s="83">
        <v>2163</v>
      </c>
      <c r="B132" s="88" t="s">
        <v>167</v>
      </c>
      <c r="C132" s="89">
        <v>0</v>
      </c>
      <c r="D132" s="88"/>
      <c r="E132" s="88"/>
      <c r="F132" s="88"/>
      <c r="G132" s="88"/>
      <c r="H132" s="88"/>
    </row>
    <row r="133" spans="1:8" x14ac:dyDescent="0.25">
      <c r="A133" s="83">
        <v>2164</v>
      </c>
      <c r="B133" s="88" t="s">
        <v>168</v>
      </c>
      <c r="C133" s="89">
        <v>0</v>
      </c>
      <c r="D133" s="88"/>
      <c r="E133" s="88"/>
      <c r="F133" s="88"/>
      <c r="G133" s="88"/>
      <c r="H133" s="88"/>
    </row>
    <row r="134" spans="1:8" x14ac:dyDescent="0.25">
      <c r="A134" s="83">
        <v>2165</v>
      </c>
      <c r="B134" s="88" t="s">
        <v>169</v>
      </c>
      <c r="C134" s="89">
        <v>0</v>
      </c>
      <c r="D134" s="88"/>
      <c r="E134" s="88"/>
      <c r="F134" s="88"/>
      <c r="G134" s="88"/>
      <c r="H134" s="88"/>
    </row>
    <row r="135" spans="1:8" x14ac:dyDescent="0.25">
      <c r="A135" s="83">
        <v>2166</v>
      </c>
      <c r="B135" s="88" t="s">
        <v>170</v>
      </c>
      <c r="C135" s="89">
        <v>0</v>
      </c>
      <c r="D135" s="88"/>
      <c r="E135" s="88"/>
      <c r="F135" s="88"/>
      <c r="G135" s="88"/>
      <c r="H135" s="88"/>
    </row>
    <row r="136" spans="1:8" x14ac:dyDescent="0.25">
      <c r="A136" s="83">
        <v>2250</v>
      </c>
      <c r="B136" s="88" t="s">
        <v>171</v>
      </c>
      <c r="C136" s="89">
        <f>SUM(C137:C142)</f>
        <v>0</v>
      </c>
      <c r="D136" s="88"/>
      <c r="E136" s="88"/>
      <c r="F136" s="88"/>
      <c r="G136" s="88"/>
      <c r="H136" s="88"/>
    </row>
    <row r="137" spans="1:8" x14ac:dyDescent="0.25">
      <c r="A137" s="83">
        <v>2251</v>
      </c>
      <c r="B137" s="88" t="s">
        <v>172</v>
      </c>
      <c r="C137" s="89">
        <v>0</v>
      </c>
      <c r="D137" s="88"/>
      <c r="E137" s="88"/>
      <c r="F137" s="88"/>
      <c r="G137" s="88"/>
      <c r="H137" s="88"/>
    </row>
    <row r="138" spans="1:8" x14ac:dyDescent="0.25">
      <c r="A138" s="83">
        <v>2252</v>
      </c>
      <c r="B138" s="88" t="s">
        <v>173</v>
      </c>
      <c r="C138" s="89">
        <v>0</v>
      </c>
      <c r="D138" s="88"/>
      <c r="E138" s="88"/>
      <c r="F138" s="88"/>
      <c r="G138" s="88"/>
      <c r="H138" s="88"/>
    </row>
    <row r="139" spans="1:8" x14ac:dyDescent="0.25">
      <c r="A139" s="83">
        <v>2253</v>
      </c>
      <c r="B139" s="88" t="s">
        <v>174</v>
      </c>
      <c r="C139" s="89">
        <v>0</v>
      </c>
      <c r="D139" s="88"/>
      <c r="E139" s="88"/>
      <c r="F139" s="88"/>
      <c r="G139" s="88"/>
      <c r="H139" s="88"/>
    </row>
    <row r="140" spans="1:8" x14ac:dyDescent="0.25">
      <c r="A140" s="83">
        <v>2254</v>
      </c>
      <c r="B140" s="88" t="s">
        <v>175</v>
      </c>
      <c r="C140" s="89">
        <v>0</v>
      </c>
      <c r="D140" s="88"/>
      <c r="E140" s="88"/>
      <c r="F140" s="88"/>
      <c r="G140" s="88"/>
      <c r="H140" s="88"/>
    </row>
    <row r="141" spans="1:8" x14ac:dyDescent="0.25">
      <c r="A141" s="83">
        <v>2255</v>
      </c>
      <c r="B141" s="88" t="s">
        <v>176</v>
      </c>
      <c r="C141" s="89">
        <v>0</v>
      </c>
      <c r="D141" s="88"/>
      <c r="E141" s="88"/>
      <c r="F141" s="88"/>
      <c r="G141" s="88"/>
      <c r="H141" s="88"/>
    </row>
    <row r="142" spans="1:8" x14ac:dyDescent="0.25">
      <c r="A142" s="83">
        <v>2256</v>
      </c>
      <c r="B142" s="88" t="s">
        <v>177</v>
      </c>
      <c r="C142" s="89">
        <v>0</v>
      </c>
      <c r="D142" s="88"/>
      <c r="E142" s="88"/>
      <c r="F142" s="88"/>
      <c r="G142" s="88"/>
      <c r="H142" s="88"/>
    </row>
    <row r="144" spans="1:8" x14ac:dyDescent="0.25">
      <c r="A144" s="91" t="s">
        <v>66</v>
      </c>
      <c r="B144" s="91"/>
      <c r="C144" s="91"/>
      <c r="D144" s="91"/>
      <c r="E144" s="91"/>
      <c r="F144" s="91"/>
      <c r="G144" s="91"/>
      <c r="H144" s="91"/>
    </row>
    <row r="145" spans="1:8" x14ac:dyDescent="0.25">
      <c r="A145" s="94" t="s">
        <v>45</v>
      </c>
      <c r="B145" s="94" t="s">
        <v>42</v>
      </c>
      <c r="C145" s="94" t="s">
        <v>43</v>
      </c>
      <c r="D145" s="94" t="s">
        <v>46</v>
      </c>
      <c r="E145" s="94" t="s">
        <v>86</v>
      </c>
      <c r="F145" s="94"/>
      <c r="G145" s="94"/>
      <c r="H145" s="94"/>
    </row>
    <row r="146" spans="1:8" x14ac:dyDescent="0.25">
      <c r="A146" s="83">
        <v>2159</v>
      </c>
      <c r="B146" s="88" t="s">
        <v>178</v>
      </c>
      <c r="C146" s="89">
        <v>0</v>
      </c>
      <c r="D146" s="88"/>
      <c r="E146" s="88"/>
      <c r="F146" s="88"/>
      <c r="G146" s="88"/>
      <c r="H146" s="88"/>
    </row>
    <row r="147" spans="1:8" x14ac:dyDescent="0.25">
      <c r="A147" s="83">
        <v>2199</v>
      </c>
      <c r="B147" s="88" t="s">
        <v>179</v>
      </c>
      <c r="C147" s="89">
        <v>0</v>
      </c>
      <c r="D147" s="88"/>
      <c r="E147" s="88"/>
      <c r="F147" s="88"/>
      <c r="G147" s="88"/>
      <c r="H147" s="88"/>
    </row>
    <row r="148" spans="1:8" x14ac:dyDescent="0.25">
      <c r="A148" s="83">
        <v>2240</v>
      </c>
      <c r="B148" s="88" t="s">
        <v>180</v>
      </c>
      <c r="C148" s="89">
        <f>SUM(C149:C151)</f>
        <v>0</v>
      </c>
      <c r="D148" s="88"/>
      <c r="E148" s="88"/>
      <c r="F148" s="88"/>
      <c r="G148" s="88"/>
      <c r="H148" s="88"/>
    </row>
    <row r="149" spans="1:8" x14ac:dyDescent="0.25">
      <c r="A149" s="83">
        <v>2241</v>
      </c>
      <c r="B149" s="88" t="s">
        <v>181</v>
      </c>
      <c r="C149" s="89">
        <v>0</v>
      </c>
      <c r="D149" s="88"/>
      <c r="E149" s="88"/>
      <c r="F149" s="88"/>
      <c r="G149" s="88"/>
      <c r="H149" s="88"/>
    </row>
    <row r="150" spans="1:8" x14ac:dyDescent="0.25">
      <c r="A150" s="83">
        <v>2242</v>
      </c>
      <c r="B150" s="88" t="s">
        <v>182</v>
      </c>
      <c r="C150" s="89">
        <v>0</v>
      </c>
      <c r="D150" s="88"/>
      <c r="E150" s="88"/>
      <c r="F150" s="88"/>
      <c r="G150" s="88"/>
      <c r="H150" s="88"/>
    </row>
    <row r="151" spans="1:8" x14ac:dyDescent="0.25">
      <c r="A151" s="83">
        <v>2249</v>
      </c>
      <c r="B151" s="88" t="s">
        <v>183</v>
      </c>
      <c r="C151" s="89">
        <v>0</v>
      </c>
      <c r="D151" s="88"/>
      <c r="E151" s="88"/>
      <c r="F151" s="88"/>
      <c r="G151" s="88"/>
      <c r="H151" s="88"/>
    </row>
    <row r="152" spans="1:8" x14ac:dyDescent="0.25">
      <c r="A152" s="88"/>
      <c r="B152" s="88"/>
      <c r="C152" s="88"/>
      <c r="D152" s="88"/>
      <c r="E152" s="88"/>
      <c r="F152" s="88"/>
      <c r="G152" s="88"/>
      <c r="H152" s="88"/>
    </row>
    <row r="153" spans="1:8" x14ac:dyDescent="0.25">
      <c r="B153" s="12" t="s">
        <v>475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2:F2"/>
    <mergeCell ref="A3:F3"/>
    <mergeCell ref="A1:F1"/>
    <mergeCell ref="A4:F4"/>
    <mergeCell ref="A5:F5"/>
  </mergeCells>
  <pageMargins left="0.39370078740157483" right="0.27559055118110237" top="0.51181102362204722" bottom="0.47244094488188981" header="0.31496062992125984" footer="0.31496062992125984"/>
  <pageSetup orientation="landscape" r:id="rId1"/>
  <headerFooter>
    <oddFooter>&amp;R&amp;8Página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0"/>
  <sheetViews>
    <sheetView showGridLines="0" topLeftCell="A207" zoomScaleNormal="100" workbookViewId="0">
      <selection activeCell="A232" sqref="A232:XFD697"/>
    </sheetView>
  </sheetViews>
  <sheetFormatPr baseColWidth="10" defaultColWidth="9.140625" defaultRowHeight="11.25" x14ac:dyDescent="0.2"/>
  <cols>
    <col min="1" max="1" width="10" style="16" customWidth="1"/>
    <col min="2" max="2" width="62.28515625" style="16" customWidth="1"/>
    <col min="3" max="3" width="13.7109375" style="16" customWidth="1"/>
    <col min="4" max="5" width="12.140625" style="16" customWidth="1"/>
    <col min="6" max="16384" width="9.140625" style="16"/>
  </cols>
  <sheetData>
    <row r="1" spans="1:6" s="18" customFormat="1" ht="18.95" customHeight="1" x14ac:dyDescent="0.25">
      <c r="A1" s="143" t="s">
        <v>563</v>
      </c>
      <c r="B1" s="143"/>
      <c r="C1" s="143"/>
      <c r="D1" s="10" t="s">
        <v>464</v>
      </c>
      <c r="E1" s="17">
        <v>2023</v>
      </c>
      <c r="F1" s="140"/>
    </row>
    <row r="2" spans="1:6" s="18" customFormat="1" ht="18.95" customHeight="1" x14ac:dyDescent="0.25">
      <c r="A2" s="144" t="s">
        <v>564</v>
      </c>
      <c r="B2" s="144"/>
      <c r="C2" s="144"/>
      <c r="D2" s="10"/>
      <c r="E2" s="17"/>
      <c r="F2" s="141"/>
    </row>
    <row r="3" spans="1:6" s="18" customFormat="1" ht="18.95" customHeight="1" x14ac:dyDescent="0.25">
      <c r="A3" s="144" t="s">
        <v>565</v>
      </c>
      <c r="B3" s="144"/>
      <c r="C3" s="144"/>
      <c r="D3" s="10"/>
      <c r="E3" s="17"/>
      <c r="F3" s="141"/>
    </row>
    <row r="4" spans="1:6" s="12" customFormat="1" ht="18.95" customHeight="1" x14ac:dyDescent="0.25">
      <c r="A4" s="144" t="s">
        <v>568</v>
      </c>
      <c r="B4" s="144"/>
      <c r="C4" s="144"/>
      <c r="D4" s="10" t="s">
        <v>465</v>
      </c>
      <c r="E4" s="17" t="s">
        <v>467</v>
      </c>
      <c r="F4" s="141"/>
    </row>
    <row r="5" spans="1:6" s="12" customFormat="1" ht="18.95" customHeight="1" x14ac:dyDescent="0.25">
      <c r="A5" s="143" t="s">
        <v>512</v>
      </c>
      <c r="B5" s="143"/>
      <c r="C5" s="143"/>
      <c r="D5" s="10" t="s">
        <v>466</v>
      </c>
      <c r="E5" s="17">
        <v>4</v>
      </c>
      <c r="F5" s="140"/>
    </row>
    <row r="6" spans="1:6" x14ac:dyDescent="0.2">
      <c r="A6" s="14" t="s">
        <v>75</v>
      </c>
      <c r="B6" s="15"/>
      <c r="C6" s="15"/>
      <c r="D6" s="15"/>
      <c r="E6" s="15"/>
    </row>
    <row r="8" spans="1:6" x14ac:dyDescent="0.2">
      <c r="A8" s="34" t="s">
        <v>440</v>
      </c>
      <c r="B8" s="34"/>
      <c r="C8" s="34"/>
      <c r="D8" s="34"/>
      <c r="E8" s="34"/>
    </row>
    <row r="9" spans="1:6" x14ac:dyDescent="0.2">
      <c r="A9" s="35" t="s">
        <v>45</v>
      </c>
      <c r="B9" s="35" t="s">
        <v>42</v>
      </c>
      <c r="C9" s="35" t="s">
        <v>43</v>
      </c>
      <c r="D9" s="35" t="s">
        <v>184</v>
      </c>
      <c r="E9" s="35"/>
    </row>
    <row r="10" spans="1:6" x14ac:dyDescent="0.2">
      <c r="A10" s="86">
        <v>4100</v>
      </c>
      <c r="B10" s="84" t="s">
        <v>185</v>
      </c>
      <c r="C10" s="85">
        <f>SUM(C11+C21+C27+C30+C36+C39+C48)</f>
        <v>300768085.80000001</v>
      </c>
      <c r="D10" s="82"/>
      <c r="E10" s="81"/>
    </row>
    <row r="11" spans="1:6" x14ac:dyDescent="0.2">
      <c r="A11" s="86">
        <v>4110</v>
      </c>
      <c r="B11" s="84" t="s">
        <v>186</v>
      </c>
      <c r="C11" s="85">
        <f>SUM(C12:C20)</f>
        <v>0</v>
      </c>
      <c r="D11" s="82"/>
      <c r="E11" s="81"/>
    </row>
    <row r="12" spans="1:6" x14ac:dyDescent="0.2">
      <c r="A12" s="86">
        <v>4111</v>
      </c>
      <c r="B12" s="84" t="s">
        <v>187</v>
      </c>
      <c r="C12" s="85">
        <v>0</v>
      </c>
      <c r="D12" s="82"/>
      <c r="E12" s="81"/>
    </row>
    <row r="13" spans="1:6" x14ac:dyDescent="0.2">
      <c r="A13" s="86">
        <v>4112</v>
      </c>
      <c r="B13" s="84" t="s">
        <v>188</v>
      </c>
      <c r="C13" s="85">
        <v>0</v>
      </c>
      <c r="D13" s="82"/>
      <c r="E13" s="81"/>
    </row>
    <row r="14" spans="1:6" x14ac:dyDescent="0.2">
      <c r="A14" s="86">
        <v>4113</v>
      </c>
      <c r="B14" s="84" t="s">
        <v>189</v>
      </c>
      <c r="C14" s="85">
        <v>0</v>
      </c>
      <c r="D14" s="82"/>
      <c r="E14" s="81"/>
    </row>
    <row r="15" spans="1:6" x14ac:dyDescent="0.2">
      <c r="A15" s="86">
        <v>4114</v>
      </c>
      <c r="B15" s="84" t="s">
        <v>190</v>
      </c>
      <c r="C15" s="85">
        <v>0</v>
      </c>
      <c r="D15" s="82"/>
      <c r="E15" s="81"/>
    </row>
    <row r="16" spans="1:6" x14ac:dyDescent="0.2">
      <c r="A16" s="86">
        <v>4115</v>
      </c>
      <c r="B16" s="84" t="s">
        <v>191</v>
      </c>
      <c r="C16" s="85">
        <v>0</v>
      </c>
      <c r="D16" s="82"/>
      <c r="E16" s="81"/>
    </row>
    <row r="17" spans="1:5" x14ac:dyDescent="0.2">
      <c r="A17" s="86">
        <v>4116</v>
      </c>
      <c r="B17" s="84" t="s">
        <v>192</v>
      </c>
      <c r="C17" s="85">
        <v>0</v>
      </c>
      <c r="D17" s="82"/>
      <c r="E17" s="81"/>
    </row>
    <row r="18" spans="1:5" x14ac:dyDescent="0.2">
      <c r="A18" s="86">
        <v>4117</v>
      </c>
      <c r="B18" s="84" t="s">
        <v>193</v>
      </c>
      <c r="C18" s="85">
        <v>0</v>
      </c>
      <c r="D18" s="82"/>
      <c r="E18" s="81"/>
    </row>
    <row r="19" spans="1:5" ht="22.5" x14ac:dyDescent="0.2">
      <c r="A19" s="86">
        <v>4118</v>
      </c>
      <c r="B19" s="80" t="s">
        <v>368</v>
      </c>
      <c r="C19" s="85">
        <v>0</v>
      </c>
      <c r="D19" s="82"/>
      <c r="E19" s="81"/>
    </row>
    <row r="20" spans="1:5" x14ac:dyDescent="0.2">
      <c r="A20" s="86">
        <v>4119</v>
      </c>
      <c r="B20" s="84" t="s">
        <v>194</v>
      </c>
      <c r="C20" s="85">
        <v>0</v>
      </c>
      <c r="D20" s="82"/>
      <c r="E20" s="81"/>
    </row>
    <row r="21" spans="1:5" x14ac:dyDescent="0.2">
      <c r="A21" s="86">
        <v>4120</v>
      </c>
      <c r="B21" s="84" t="s">
        <v>195</v>
      </c>
      <c r="C21" s="85">
        <f>SUM(C22:C26)</f>
        <v>0</v>
      </c>
      <c r="D21" s="82"/>
      <c r="E21" s="81"/>
    </row>
    <row r="22" spans="1:5" x14ac:dyDescent="0.2">
      <c r="A22" s="86">
        <v>4121</v>
      </c>
      <c r="B22" s="84" t="s">
        <v>196</v>
      </c>
      <c r="C22" s="85">
        <v>0</v>
      </c>
      <c r="D22" s="82"/>
      <c r="E22" s="81"/>
    </row>
    <row r="23" spans="1:5" x14ac:dyDescent="0.2">
      <c r="A23" s="86">
        <v>4122</v>
      </c>
      <c r="B23" s="84" t="s">
        <v>369</v>
      </c>
      <c r="C23" s="85">
        <v>0</v>
      </c>
      <c r="D23" s="82"/>
      <c r="E23" s="81"/>
    </row>
    <row r="24" spans="1:5" x14ac:dyDescent="0.2">
      <c r="A24" s="86">
        <v>4123</v>
      </c>
      <c r="B24" s="84" t="s">
        <v>197</v>
      </c>
      <c r="C24" s="85">
        <v>0</v>
      </c>
      <c r="D24" s="82"/>
      <c r="E24" s="81"/>
    </row>
    <row r="25" spans="1:5" x14ac:dyDescent="0.2">
      <c r="A25" s="86">
        <v>4124</v>
      </c>
      <c r="B25" s="84" t="s">
        <v>198</v>
      </c>
      <c r="C25" s="85">
        <v>0</v>
      </c>
      <c r="D25" s="82"/>
      <c r="E25" s="81"/>
    </row>
    <row r="26" spans="1:5" x14ac:dyDescent="0.2">
      <c r="A26" s="86">
        <v>4129</v>
      </c>
      <c r="B26" s="84" t="s">
        <v>199</v>
      </c>
      <c r="C26" s="85">
        <v>0</v>
      </c>
      <c r="D26" s="82"/>
      <c r="E26" s="81"/>
    </row>
    <row r="27" spans="1:5" x14ac:dyDescent="0.2">
      <c r="A27" s="86">
        <v>4130</v>
      </c>
      <c r="B27" s="84" t="s">
        <v>200</v>
      </c>
      <c r="C27" s="85">
        <f>SUM(C28:C29)</f>
        <v>0</v>
      </c>
      <c r="D27" s="82"/>
      <c r="E27" s="81"/>
    </row>
    <row r="28" spans="1:5" x14ac:dyDescent="0.2">
      <c r="A28" s="86">
        <v>4131</v>
      </c>
      <c r="B28" s="84" t="s">
        <v>201</v>
      </c>
      <c r="C28" s="85">
        <v>0</v>
      </c>
      <c r="D28" s="82"/>
      <c r="E28" s="81"/>
    </row>
    <row r="29" spans="1:5" ht="22.5" x14ac:dyDescent="0.2">
      <c r="A29" s="86">
        <v>4132</v>
      </c>
      <c r="B29" s="80" t="s">
        <v>370</v>
      </c>
      <c r="C29" s="85">
        <v>0</v>
      </c>
      <c r="D29" s="82"/>
      <c r="E29" s="81"/>
    </row>
    <row r="30" spans="1:5" x14ac:dyDescent="0.2">
      <c r="A30" s="86">
        <v>4140</v>
      </c>
      <c r="B30" s="84" t="s">
        <v>202</v>
      </c>
      <c r="C30" s="85">
        <f>SUM(C31:C35)</f>
        <v>0</v>
      </c>
      <c r="D30" s="82"/>
      <c r="E30" s="81"/>
    </row>
    <row r="31" spans="1:5" x14ac:dyDescent="0.2">
      <c r="A31" s="86">
        <v>4141</v>
      </c>
      <c r="B31" s="84" t="s">
        <v>203</v>
      </c>
      <c r="C31" s="85">
        <v>0</v>
      </c>
      <c r="D31" s="82"/>
      <c r="E31" s="81"/>
    </row>
    <row r="32" spans="1:5" x14ac:dyDescent="0.2">
      <c r="A32" s="86">
        <v>4143</v>
      </c>
      <c r="B32" s="84" t="s">
        <v>204</v>
      </c>
      <c r="C32" s="85">
        <v>0</v>
      </c>
      <c r="D32" s="82"/>
      <c r="E32" s="81"/>
    </row>
    <row r="33" spans="1:5" x14ac:dyDescent="0.2">
      <c r="A33" s="86">
        <v>4144</v>
      </c>
      <c r="B33" s="84" t="s">
        <v>205</v>
      </c>
      <c r="C33" s="85">
        <v>0</v>
      </c>
      <c r="D33" s="82"/>
      <c r="E33" s="81"/>
    </row>
    <row r="34" spans="1:5" ht="22.5" x14ac:dyDescent="0.2">
      <c r="A34" s="86">
        <v>4145</v>
      </c>
      <c r="B34" s="80" t="s">
        <v>371</v>
      </c>
      <c r="C34" s="85">
        <v>0</v>
      </c>
      <c r="D34" s="82"/>
      <c r="E34" s="81"/>
    </row>
    <row r="35" spans="1:5" x14ac:dyDescent="0.2">
      <c r="A35" s="86">
        <v>4149</v>
      </c>
      <c r="B35" s="84" t="s">
        <v>206</v>
      </c>
      <c r="C35" s="85">
        <v>0</v>
      </c>
      <c r="D35" s="82"/>
      <c r="E35" s="81"/>
    </row>
    <row r="36" spans="1:5" x14ac:dyDescent="0.2">
      <c r="A36" s="86">
        <v>4150</v>
      </c>
      <c r="B36" s="84" t="s">
        <v>372</v>
      </c>
      <c r="C36" s="85">
        <f>SUM(C37:C38)</f>
        <v>24923060.809999999</v>
      </c>
      <c r="D36" s="82"/>
      <c r="E36" s="81"/>
    </row>
    <row r="37" spans="1:5" x14ac:dyDescent="0.2">
      <c r="A37" s="86">
        <v>4151</v>
      </c>
      <c r="B37" s="84" t="s">
        <v>372</v>
      </c>
      <c r="C37" s="85">
        <f>24516518.43+406313.82+228.56</f>
        <v>24923060.809999999</v>
      </c>
      <c r="D37" s="82"/>
      <c r="E37" s="81"/>
    </row>
    <row r="38" spans="1:5" ht="22.5" x14ac:dyDescent="0.2">
      <c r="A38" s="86">
        <v>4154</v>
      </c>
      <c r="B38" s="80" t="s">
        <v>373</v>
      </c>
      <c r="C38" s="85">
        <v>0</v>
      </c>
      <c r="D38" s="82"/>
      <c r="E38" s="81"/>
    </row>
    <row r="39" spans="1:5" x14ac:dyDescent="0.2">
      <c r="A39" s="86">
        <v>4160</v>
      </c>
      <c r="B39" s="84" t="s">
        <v>374</v>
      </c>
      <c r="C39" s="85">
        <f>SUM(C40:C47)</f>
        <v>0</v>
      </c>
      <c r="D39" s="82"/>
      <c r="E39" s="81"/>
    </row>
    <row r="40" spans="1:5" x14ac:dyDescent="0.2">
      <c r="A40" s="86">
        <v>4161</v>
      </c>
      <c r="B40" s="84" t="s">
        <v>207</v>
      </c>
      <c r="C40" s="85">
        <v>0</v>
      </c>
      <c r="D40" s="82"/>
      <c r="E40" s="81"/>
    </row>
    <row r="41" spans="1:5" x14ac:dyDescent="0.2">
      <c r="A41" s="86">
        <v>4162</v>
      </c>
      <c r="B41" s="84" t="s">
        <v>208</v>
      </c>
      <c r="C41" s="85">
        <v>0</v>
      </c>
      <c r="D41" s="82"/>
      <c r="E41" s="81"/>
    </row>
    <row r="42" spans="1:5" x14ac:dyDescent="0.2">
      <c r="A42" s="86">
        <v>4163</v>
      </c>
      <c r="B42" s="84" t="s">
        <v>209</v>
      </c>
      <c r="C42" s="85">
        <v>0</v>
      </c>
      <c r="D42" s="82"/>
      <c r="E42" s="81"/>
    </row>
    <row r="43" spans="1:5" x14ac:dyDescent="0.2">
      <c r="A43" s="86">
        <v>4164</v>
      </c>
      <c r="B43" s="84" t="s">
        <v>210</v>
      </c>
      <c r="C43" s="85">
        <v>0</v>
      </c>
      <c r="D43" s="82"/>
      <c r="E43" s="81"/>
    </row>
    <row r="44" spans="1:5" x14ac:dyDescent="0.2">
      <c r="A44" s="86">
        <v>4165</v>
      </c>
      <c r="B44" s="84" t="s">
        <v>211</v>
      </c>
      <c r="C44" s="85">
        <v>0</v>
      </c>
      <c r="D44" s="82"/>
      <c r="E44" s="81"/>
    </row>
    <row r="45" spans="1:5" ht="22.5" x14ac:dyDescent="0.2">
      <c r="A45" s="86">
        <v>4166</v>
      </c>
      <c r="B45" s="80" t="s">
        <v>375</v>
      </c>
      <c r="C45" s="85">
        <v>0</v>
      </c>
      <c r="D45" s="82"/>
      <c r="E45" s="81"/>
    </row>
    <row r="46" spans="1:5" x14ac:dyDescent="0.2">
      <c r="A46" s="86">
        <v>4168</v>
      </c>
      <c r="B46" s="84" t="s">
        <v>212</v>
      </c>
      <c r="C46" s="85">
        <v>0</v>
      </c>
      <c r="D46" s="82"/>
      <c r="E46" s="81"/>
    </row>
    <row r="47" spans="1:5" x14ac:dyDescent="0.2">
      <c r="A47" s="86">
        <v>4169</v>
      </c>
      <c r="B47" s="84" t="s">
        <v>213</v>
      </c>
      <c r="C47" s="85">
        <v>0</v>
      </c>
      <c r="D47" s="82"/>
      <c r="E47" s="81"/>
    </row>
    <row r="48" spans="1:5" x14ac:dyDescent="0.2">
      <c r="A48" s="86">
        <v>4170</v>
      </c>
      <c r="B48" s="84" t="s">
        <v>460</v>
      </c>
      <c r="C48" s="85">
        <f>SUM(C49:C56)+6348248.62</f>
        <v>275845024.99000001</v>
      </c>
      <c r="D48" s="82"/>
      <c r="E48" s="81"/>
    </row>
    <row r="49" spans="1:5" x14ac:dyDescent="0.2">
      <c r="A49" s="86">
        <v>4171</v>
      </c>
      <c r="B49" s="84" t="s">
        <v>376</v>
      </c>
      <c r="C49" s="85">
        <v>0</v>
      </c>
      <c r="D49" s="82"/>
      <c r="E49" s="81"/>
    </row>
    <row r="50" spans="1:5" x14ac:dyDescent="0.2">
      <c r="A50" s="86">
        <v>4172</v>
      </c>
      <c r="B50" s="84" t="s">
        <v>377</v>
      </c>
      <c r="C50" s="85">
        <v>0</v>
      </c>
      <c r="D50" s="82"/>
      <c r="E50" s="81"/>
    </row>
    <row r="51" spans="1:5" ht="22.5" x14ac:dyDescent="0.2">
      <c r="A51" s="86">
        <v>4173</v>
      </c>
      <c r="B51" s="80" t="s">
        <v>378</v>
      </c>
      <c r="C51" s="85">
        <f>264113799.95+3830879.42+1552097</f>
        <v>269496776.37</v>
      </c>
      <c r="D51" s="82"/>
      <c r="E51" s="81"/>
    </row>
    <row r="52" spans="1:5" ht="22.5" x14ac:dyDescent="0.2">
      <c r="A52" s="86">
        <v>4174</v>
      </c>
      <c r="B52" s="80" t="s">
        <v>379</v>
      </c>
      <c r="C52" s="85">
        <v>0</v>
      </c>
      <c r="D52" s="82"/>
      <c r="E52" s="81"/>
    </row>
    <row r="53" spans="1:5" ht="22.5" x14ac:dyDescent="0.2">
      <c r="A53" s="86">
        <v>4175</v>
      </c>
      <c r="B53" s="80" t="s">
        <v>380</v>
      </c>
      <c r="C53" s="85">
        <v>0</v>
      </c>
      <c r="D53" s="82"/>
      <c r="E53" s="81"/>
    </row>
    <row r="54" spans="1:5" ht="22.5" x14ac:dyDescent="0.2">
      <c r="A54" s="86">
        <v>4176</v>
      </c>
      <c r="B54" s="80" t="s">
        <v>381</v>
      </c>
      <c r="C54" s="85">
        <v>0</v>
      </c>
      <c r="D54" s="82"/>
      <c r="E54" s="81"/>
    </row>
    <row r="55" spans="1:5" ht="22.5" x14ac:dyDescent="0.2">
      <c r="A55" s="86">
        <v>4177</v>
      </c>
      <c r="B55" s="80" t="s">
        <v>382</v>
      </c>
      <c r="C55" s="85">
        <v>0</v>
      </c>
      <c r="D55" s="82"/>
      <c r="E55" s="81"/>
    </row>
    <row r="56" spans="1:5" ht="22.5" x14ac:dyDescent="0.2">
      <c r="A56" s="86">
        <v>4178</v>
      </c>
      <c r="B56" s="80" t="s">
        <v>383</v>
      </c>
      <c r="C56" s="85">
        <v>0</v>
      </c>
      <c r="D56" s="82"/>
      <c r="E56" s="81"/>
    </row>
    <row r="57" spans="1:5" x14ac:dyDescent="0.2">
      <c r="A57" s="37"/>
      <c r="B57" s="38"/>
      <c r="C57" s="39"/>
      <c r="D57" s="72"/>
      <c r="E57" s="36"/>
    </row>
    <row r="58" spans="1:5" x14ac:dyDescent="0.2">
      <c r="A58" s="34" t="s">
        <v>439</v>
      </c>
      <c r="B58" s="34"/>
      <c r="C58" s="34"/>
      <c r="D58" s="34"/>
      <c r="E58" s="34"/>
    </row>
    <row r="59" spans="1:5" x14ac:dyDescent="0.2">
      <c r="A59" s="35" t="s">
        <v>45</v>
      </c>
      <c r="B59" s="35" t="s">
        <v>42</v>
      </c>
      <c r="C59" s="35" t="s">
        <v>43</v>
      </c>
      <c r="D59" s="35" t="s">
        <v>184</v>
      </c>
      <c r="E59" s="35"/>
    </row>
    <row r="60" spans="1:5" ht="45" x14ac:dyDescent="0.2">
      <c r="A60" s="86">
        <v>4200</v>
      </c>
      <c r="B60" s="80" t="s">
        <v>384</v>
      </c>
      <c r="C60" s="85">
        <f>+C61+C67</f>
        <v>75146453.24000001</v>
      </c>
      <c r="D60" s="82"/>
      <c r="E60" s="81"/>
    </row>
    <row r="61" spans="1:5" ht="22.5" x14ac:dyDescent="0.2">
      <c r="A61" s="86">
        <v>4210</v>
      </c>
      <c r="B61" s="80" t="s">
        <v>385</v>
      </c>
      <c r="C61" s="85">
        <f>SUM(C62:C66)</f>
        <v>0</v>
      </c>
      <c r="D61" s="82"/>
      <c r="E61" s="81"/>
    </row>
    <row r="62" spans="1:5" x14ac:dyDescent="0.2">
      <c r="A62" s="86">
        <v>4211</v>
      </c>
      <c r="B62" s="84" t="s">
        <v>214</v>
      </c>
      <c r="C62" s="85">
        <v>0</v>
      </c>
      <c r="D62" s="82"/>
      <c r="E62" s="81"/>
    </row>
    <row r="63" spans="1:5" x14ac:dyDescent="0.2">
      <c r="A63" s="86">
        <v>4212</v>
      </c>
      <c r="B63" s="84" t="s">
        <v>215</v>
      </c>
      <c r="C63" s="85">
        <v>0</v>
      </c>
      <c r="D63" s="82"/>
      <c r="E63" s="81"/>
    </row>
    <row r="64" spans="1:5" x14ac:dyDescent="0.2">
      <c r="A64" s="86">
        <v>4213</v>
      </c>
      <c r="B64" s="84" t="s">
        <v>216</v>
      </c>
      <c r="C64" s="85">
        <v>0</v>
      </c>
      <c r="D64" s="82"/>
      <c r="E64" s="81"/>
    </row>
    <row r="65" spans="1:5" x14ac:dyDescent="0.2">
      <c r="A65" s="86">
        <v>4214</v>
      </c>
      <c r="B65" s="84" t="s">
        <v>386</v>
      </c>
      <c r="C65" s="85">
        <v>0</v>
      </c>
      <c r="D65" s="82"/>
      <c r="E65" s="81"/>
    </row>
    <row r="66" spans="1:5" x14ac:dyDescent="0.2">
      <c r="A66" s="86">
        <v>4215</v>
      </c>
      <c r="B66" s="84" t="s">
        <v>387</v>
      </c>
      <c r="C66" s="85">
        <v>0</v>
      </c>
      <c r="D66" s="82"/>
      <c r="E66" s="81"/>
    </row>
    <row r="67" spans="1:5" x14ac:dyDescent="0.2">
      <c r="A67" s="86">
        <v>4220</v>
      </c>
      <c r="B67" s="84" t="s">
        <v>217</v>
      </c>
      <c r="C67" s="85">
        <f>SUM(C68:C71)</f>
        <v>75146453.24000001</v>
      </c>
      <c r="D67" s="82"/>
      <c r="E67" s="81"/>
    </row>
    <row r="68" spans="1:5" x14ac:dyDescent="0.2">
      <c r="A68" s="86">
        <v>4221</v>
      </c>
      <c r="B68" s="84" t="s">
        <v>218</v>
      </c>
      <c r="C68" s="85">
        <f>6282906.23+3105000+54608216.3+6265422.54+4884908.17</f>
        <v>75146453.24000001</v>
      </c>
      <c r="D68" s="82"/>
      <c r="E68" s="81"/>
    </row>
    <row r="69" spans="1:5" x14ac:dyDescent="0.2">
      <c r="A69" s="86">
        <v>4223</v>
      </c>
      <c r="B69" s="84" t="s">
        <v>219</v>
      </c>
      <c r="C69" s="85">
        <v>0</v>
      </c>
      <c r="D69" s="82"/>
      <c r="E69" s="81"/>
    </row>
    <row r="70" spans="1:5" x14ac:dyDescent="0.2">
      <c r="A70" s="86">
        <v>4225</v>
      </c>
      <c r="B70" s="84" t="s">
        <v>221</v>
      </c>
      <c r="C70" s="85">
        <v>0</v>
      </c>
      <c r="D70" s="82"/>
      <c r="E70" s="81"/>
    </row>
    <row r="71" spans="1:5" x14ac:dyDescent="0.2">
      <c r="A71" s="86">
        <v>4227</v>
      </c>
      <c r="B71" s="84" t="s">
        <v>388</v>
      </c>
      <c r="C71" s="85">
        <v>0</v>
      </c>
      <c r="D71" s="82"/>
      <c r="E71" s="81"/>
    </row>
    <row r="72" spans="1:5" x14ac:dyDescent="0.2">
      <c r="A72" s="36"/>
      <c r="B72" s="36"/>
      <c r="C72" s="36"/>
      <c r="D72" s="36"/>
      <c r="E72" s="36"/>
    </row>
    <row r="73" spans="1:5" x14ac:dyDescent="0.2">
      <c r="A73" s="34" t="s">
        <v>447</v>
      </c>
      <c r="B73" s="34"/>
      <c r="C73" s="34"/>
      <c r="D73" s="34"/>
      <c r="E73" s="34"/>
    </row>
    <row r="74" spans="1:5" x14ac:dyDescent="0.2">
      <c r="A74" s="35" t="s">
        <v>45</v>
      </c>
      <c r="B74" s="35" t="s">
        <v>42</v>
      </c>
      <c r="C74" s="35" t="s">
        <v>43</v>
      </c>
      <c r="D74" s="35" t="s">
        <v>46</v>
      </c>
      <c r="E74" s="35" t="s">
        <v>86</v>
      </c>
    </row>
    <row r="75" spans="1:5" x14ac:dyDescent="0.2">
      <c r="A75" s="87">
        <v>4300</v>
      </c>
      <c r="B75" s="84" t="s">
        <v>222</v>
      </c>
      <c r="C75" s="85">
        <f>C76+C79+C85+C87+C89</f>
        <v>2853982.16</v>
      </c>
      <c r="D75" s="84"/>
      <c r="E75" s="84"/>
    </row>
    <row r="76" spans="1:5" x14ac:dyDescent="0.2">
      <c r="A76" s="87">
        <v>4310</v>
      </c>
      <c r="B76" s="84" t="s">
        <v>223</v>
      </c>
      <c r="C76" s="85">
        <f>SUM(C77:C78)</f>
        <v>0</v>
      </c>
      <c r="D76" s="84"/>
      <c r="E76" s="84"/>
    </row>
    <row r="77" spans="1:5" x14ac:dyDescent="0.2">
      <c r="A77" s="87">
        <v>4311</v>
      </c>
      <c r="B77" s="84" t="s">
        <v>389</v>
      </c>
      <c r="C77" s="85">
        <v>0</v>
      </c>
      <c r="D77" s="84"/>
      <c r="E77" s="84"/>
    </row>
    <row r="78" spans="1:5" x14ac:dyDescent="0.2">
      <c r="A78" s="87">
        <v>4319</v>
      </c>
      <c r="B78" s="84" t="s">
        <v>224</v>
      </c>
      <c r="C78" s="85">
        <v>0</v>
      </c>
      <c r="D78" s="84"/>
      <c r="E78" s="84"/>
    </row>
    <row r="79" spans="1:5" x14ac:dyDescent="0.2">
      <c r="A79" s="87">
        <v>4320</v>
      </c>
      <c r="B79" s="84" t="s">
        <v>225</v>
      </c>
      <c r="C79" s="85">
        <f>SUM(C80:C84)</f>
        <v>0</v>
      </c>
      <c r="D79" s="84"/>
      <c r="E79" s="84"/>
    </row>
    <row r="80" spans="1:5" x14ac:dyDescent="0.2">
      <c r="A80" s="87">
        <v>4321</v>
      </c>
      <c r="B80" s="84" t="s">
        <v>226</v>
      </c>
      <c r="C80" s="85">
        <v>0</v>
      </c>
      <c r="D80" s="84"/>
      <c r="E80" s="84"/>
    </row>
    <row r="81" spans="1:5" x14ac:dyDescent="0.2">
      <c r="A81" s="87">
        <v>4322</v>
      </c>
      <c r="B81" s="84" t="s">
        <v>227</v>
      </c>
      <c r="C81" s="85">
        <v>0</v>
      </c>
      <c r="D81" s="84"/>
      <c r="E81" s="84"/>
    </row>
    <row r="82" spans="1:5" x14ac:dyDescent="0.2">
      <c r="A82" s="87">
        <v>4323</v>
      </c>
      <c r="B82" s="84" t="s">
        <v>228</v>
      </c>
      <c r="C82" s="85">
        <v>0</v>
      </c>
      <c r="D82" s="84"/>
      <c r="E82" s="84"/>
    </row>
    <row r="83" spans="1:5" x14ac:dyDescent="0.2">
      <c r="A83" s="87">
        <v>4324</v>
      </c>
      <c r="B83" s="84" t="s">
        <v>229</v>
      </c>
      <c r="C83" s="85">
        <v>0</v>
      </c>
      <c r="D83" s="84"/>
      <c r="E83" s="84"/>
    </row>
    <row r="84" spans="1:5" x14ac:dyDescent="0.2">
      <c r="A84" s="87">
        <v>4325</v>
      </c>
      <c r="B84" s="84" t="s">
        <v>230</v>
      </c>
      <c r="C84" s="85">
        <v>0</v>
      </c>
      <c r="D84" s="84"/>
      <c r="E84" s="84"/>
    </row>
    <row r="85" spans="1:5" x14ac:dyDescent="0.2">
      <c r="A85" s="87">
        <v>4330</v>
      </c>
      <c r="B85" s="84" t="s">
        <v>231</v>
      </c>
      <c r="C85" s="85">
        <f>SUM(C86)</f>
        <v>0</v>
      </c>
      <c r="D85" s="84"/>
      <c r="E85" s="84"/>
    </row>
    <row r="86" spans="1:5" x14ac:dyDescent="0.2">
      <c r="A86" s="87">
        <v>4331</v>
      </c>
      <c r="B86" s="84" t="s">
        <v>231</v>
      </c>
      <c r="C86" s="85">
        <v>0</v>
      </c>
      <c r="D86" s="84"/>
      <c r="E86" s="84"/>
    </row>
    <row r="87" spans="1:5" x14ac:dyDescent="0.2">
      <c r="A87" s="87">
        <v>4340</v>
      </c>
      <c r="B87" s="84" t="s">
        <v>232</v>
      </c>
      <c r="C87" s="85">
        <f>SUM(C88)</f>
        <v>0</v>
      </c>
      <c r="D87" s="84"/>
      <c r="E87" s="84"/>
    </row>
    <row r="88" spans="1:5" x14ac:dyDescent="0.2">
      <c r="A88" s="87">
        <v>4341</v>
      </c>
      <c r="B88" s="84" t="s">
        <v>232</v>
      </c>
      <c r="C88" s="85">
        <v>0</v>
      </c>
      <c r="D88" s="84"/>
      <c r="E88" s="84"/>
    </row>
    <row r="89" spans="1:5" x14ac:dyDescent="0.2">
      <c r="A89" s="87">
        <v>4390</v>
      </c>
      <c r="B89" s="84" t="s">
        <v>233</v>
      </c>
      <c r="C89" s="85">
        <f>SUM(C90:C96)</f>
        <v>2853982.16</v>
      </c>
      <c r="D89" s="84"/>
      <c r="E89" s="84"/>
    </row>
    <row r="90" spans="1:5" x14ac:dyDescent="0.2">
      <c r="A90" s="87">
        <v>4392</v>
      </c>
      <c r="B90" s="84" t="s">
        <v>234</v>
      </c>
      <c r="C90" s="85">
        <v>0</v>
      </c>
      <c r="D90" s="84"/>
      <c r="E90" s="84"/>
    </row>
    <row r="91" spans="1:5" x14ac:dyDescent="0.2">
      <c r="A91" s="87">
        <v>4393</v>
      </c>
      <c r="B91" s="84" t="s">
        <v>390</v>
      </c>
      <c r="C91" s="85">
        <v>0</v>
      </c>
      <c r="D91" s="84"/>
      <c r="E91" s="84"/>
    </row>
    <row r="92" spans="1:5" x14ac:dyDescent="0.2">
      <c r="A92" s="87">
        <v>4394</v>
      </c>
      <c r="B92" s="84" t="s">
        <v>235</v>
      </c>
      <c r="C92" s="85">
        <v>0</v>
      </c>
      <c r="D92" s="84"/>
      <c r="E92" s="84"/>
    </row>
    <row r="93" spans="1:5" x14ac:dyDescent="0.2">
      <c r="A93" s="87">
        <v>4395</v>
      </c>
      <c r="B93" s="84" t="s">
        <v>236</v>
      </c>
      <c r="C93" s="85">
        <v>0</v>
      </c>
      <c r="D93" s="84"/>
      <c r="E93" s="84"/>
    </row>
    <row r="94" spans="1:5" x14ac:dyDescent="0.2">
      <c r="A94" s="87">
        <v>4396</v>
      </c>
      <c r="B94" s="84" t="s">
        <v>237</v>
      </c>
      <c r="C94" s="85">
        <v>0</v>
      </c>
      <c r="D94" s="84"/>
      <c r="E94" s="84"/>
    </row>
    <row r="95" spans="1:5" x14ac:dyDescent="0.2">
      <c r="A95" s="87">
        <v>4397</v>
      </c>
      <c r="B95" s="84" t="s">
        <v>391</v>
      </c>
      <c r="C95" s="85">
        <v>0</v>
      </c>
      <c r="D95" s="84"/>
      <c r="E95" s="84"/>
    </row>
    <row r="96" spans="1:5" x14ac:dyDescent="0.2">
      <c r="A96" s="87">
        <v>4399</v>
      </c>
      <c r="B96" s="84" t="s">
        <v>233</v>
      </c>
      <c r="C96" s="85">
        <f>637579.99+2216402.17</f>
        <v>2853982.16</v>
      </c>
      <c r="D96" s="84"/>
      <c r="E96" s="84"/>
    </row>
    <row r="97" spans="1:5" x14ac:dyDescent="0.2">
      <c r="A97" s="36"/>
      <c r="B97" s="36"/>
      <c r="C97" s="36"/>
      <c r="D97" s="36"/>
      <c r="E97" s="36"/>
    </row>
    <row r="98" spans="1:5" x14ac:dyDescent="0.2">
      <c r="A98" s="34" t="s">
        <v>441</v>
      </c>
      <c r="B98" s="34"/>
      <c r="C98" s="34"/>
      <c r="D98" s="34"/>
      <c r="E98" s="34"/>
    </row>
    <row r="99" spans="1:5" x14ac:dyDescent="0.2">
      <c r="A99" s="35" t="s">
        <v>45</v>
      </c>
      <c r="B99" s="35" t="s">
        <v>42</v>
      </c>
      <c r="C99" s="35" t="s">
        <v>43</v>
      </c>
      <c r="D99" s="35" t="s">
        <v>238</v>
      </c>
      <c r="E99" s="35" t="s">
        <v>86</v>
      </c>
    </row>
    <row r="100" spans="1:5" x14ac:dyDescent="0.2">
      <c r="A100" s="87">
        <v>5000</v>
      </c>
      <c r="B100" s="84" t="s">
        <v>239</v>
      </c>
      <c r="C100" s="85">
        <f>C101+C129+C162+C172+C187+C216</f>
        <v>282069576.85999995</v>
      </c>
      <c r="D100" s="95">
        <v>1</v>
      </c>
      <c r="E100" s="84"/>
    </row>
    <row r="101" spans="1:5" x14ac:dyDescent="0.2">
      <c r="A101" s="87">
        <v>5100</v>
      </c>
      <c r="B101" s="84" t="s">
        <v>240</v>
      </c>
      <c r="C101" s="85">
        <f>C102+C109+C119</f>
        <v>249589209.35999998</v>
      </c>
      <c r="D101" s="95">
        <f>C101/$C$100</f>
        <v>0.88484980244388067</v>
      </c>
      <c r="E101" s="84"/>
    </row>
    <row r="102" spans="1:5" x14ac:dyDescent="0.2">
      <c r="A102" s="87">
        <v>5110</v>
      </c>
      <c r="B102" s="84" t="s">
        <v>241</v>
      </c>
      <c r="C102" s="85">
        <f>SUM(C103:C108)</f>
        <v>149892573.97</v>
      </c>
      <c r="D102" s="95">
        <f t="shared" ref="D102:D165" si="0">C102/$C$100</f>
        <v>0.53140283911014063</v>
      </c>
      <c r="E102" s="84"/>
    </row>
    <row r="103" spans="1:5" x14ac:dyDescent="0.2">
      <c r="A103" s="87">
        <v>5111</v>
      </c>
      <c r="B103" s="84" t="s">
        <v>242</v>
      </c>
      <c r="C103" s="85">
        <f>51332586.49+2743895.77+1452755.77+26954637.99+3394585.09+3313802.46</f>
        <v>89192263.570000008</v>
      </c>
      <c r="D103" s="95">
        <f t="shared" si="0"/>
        <v>0.31620660605404088</v>
      </c>
      <c r="E103" s="84"/>
    </row>
    <row r="104" spans="1:5" x14ac:dyDescent="0.2">
      <c r="A104" s="87">
        <v>5112</v>
      </c>
      <c r="B104" s="84" t="s">
        <v>243</v>
      </c>
      <c r="C104" s="85">
        <f>110997.98+46690.76</f>
        <v>157688.74</v>
      </c>
      <c r="D104" s="95">
        <f t="shared" si="0"/>
        <v>5.5904199862811112E-4</v>
      </c>
      <c r="E104" s="84"/>
    </row>
    <row r="105" spans="1:5" x14ac:dyDescent="0.2">
      <c r="A105" s="87">
        <v>5113</v>
      </c>
      <c r="B105" s="84" t="s">
        <v>244</v>
      </c>
      <c r="C105" s="85">
        <f>10745584.7+348786.45+224387.39+4106930.5+459593.57+461862.55</f>
        <v>16347145.16</v>
      </c>
      <c r="D105" s="95">
        <f t="shared" si="0"/>
        <v>5.7954300998982265E-2</v>
      </c>
      <c r="E105" s="84"/>
    </row>
    <row r="106" spans="1:5" x14ac:dyDescent="0.2">
      <c r="A106" s="87">
        <v>5114</v>
      </c>
      <c r="B106" s="84" t="s">
        <v>245</v>
      </c>
      <c r="C106" s="85">
        <f>15081136.6+7334745.66+137114.96</f>
        <v>22552997.219999999</v>
      </c>
      <c r="D106" s="95">
        <f t="shared" si="0"/>
        <v>7.995544032454717E-2</v>
      </c>
      <c r="E106" s="84"/>
    </row>
    <row r="107" spans="1:5" x14ac:dyDescent="0.2">
      <c r="A107" s="87">
        <v>5115</v>
      </c>
      <c r="B107" s="84" t="s">
        <v>246</v>
      </c>
      <c r="C107" s="85">
        <f>15938205.09+46532.71+135000+3510517.27+138604.12+533787.09</f>
        <v>20302646.280000001</v>
      </c>
      <c r="D107" s="95">
        <f t="shared" si="0"/>
        <v>7.197744083572985E-2</v>
      </c>
      <c r="E107" s="84"/>
    </row>
    <row r="108" spans="1:5" x14ac:dyDescent="0.2">
      <c r="A108" s="87">
        <v>5116</v>
      </c>
      <c r="B108" s="84" t="s">
        <v>247</v>
      </c>
      <c r="C108" s="85">
        <v>1339833</v>
      </c>
      <c r="D108" s="95">
        <f t="shared" si="0"/>
        <v>4.7500088982123777E-3</v>
      </c>
      <c r="E108" s="84"/>
    </row>
    <row r="109" spans="1:5" x14ac:dyDescent="0.2">
      <c r="A109" s="87">
        <v>5120</v>
      </c>
      <c r="B109" s="84" t="s">
        <v>248</v>
      </c>
      <c r="C109" s="85">
        <f>SUM(C110:C118)</f>
        <v>27952236.029999997</v>
      </c>
      <c r="D109" s="95">
        <f t="shared" si="0"/>
        <v>9.9096954521520675E-2</v>
      </c>
      <c r="E109" s="84"/>
    </row>
    <row r="110" spans="1:5" x14ac:dyDescent="0.2">
      <c r="A110" s="87">
        <v>5121</v>
      </c>
      <c r="B110" s="84" t="s">
        <v>249</v>
      </c>
      <c r="C110" s="85">
        <f>1612894.42+68792.75+26761.96+898648.27+105770.64+89367.26</f>
        <v>2802235.3</v>
      </c>
      <c r="D110" s="95">
        <f t="shared" si="0"/>
        <v>9.9345534927747191E-3</v>
      </c>
      <c r="E110" s="84"/>
    </row>
    <row r="111" spans="1:5" x14ac:dyDescent="0.2">
      <c r="A111" s="87">
        <v>5122</v>
      </c>
      <c r="B111" s="84" t="s">
        <v>250</v>
      </c>
      <c r="C111" s="85">
        <f>231722.91+54953.93+6871+742957.33+43521.65+3801.5</f>
        <v>1083828.3199999998</v>
      </c>
      <c r="D111" s="95">
        <f t="shared" si="0"/>
        <v>3.842414811498576E-3</v>
      </c>
      <c r="E111" s="84"/>
    </row>
    <row r="112" spans="1:5" x14ac:dyDescent="0.2">
      <c r="A112" s="87">
        <v>5123</v>
      </c>
      <c r="B112" s="84" t="s">
        <v>251</v>
      </c>
      <c r="C112" s="85">
        <v>0</v>
      </c>
      <c r="D112" s="95">
        <f t="shared" si="0"/>
        <v>0</v>
      </c>
      <c r="E112" s="84"/>
    </row>
    <row r="113" spans="1:5" x14ac:dyDescent="0.2">
      <c r="A113" s="87">
        <v>5124</v>
      </c>
      <c r="B113" s="84" t="s">
        <v>252</v>
      </c>
      <c r="C113" s="85">
        <f>7731619.76+252209.87+1564.01+497581.37+11651.6+9320.83</f>
        <v>8503947.4399999995</v>
      </c>
      <c r="D113" s="95">
        <f t="shared" si="0"/>
        <v>3.014840357711026E-2</v>
      </c>
      <c r="E113" s="84"/>
    </row>
    <row r="114" spans="1:5" x14ac:dyDescent="0.2">
      <c r="A114" s="87">
        <v>5125</v>
      </c>
      <c r="B114" s="84" t="s">
        <v>253</v>
      </c>
      <c r="C114" s="85">
        <f>1122297.67+99956.47+1264.51+243566.18+29324.57</f>
        <v>1496409.4</v>
      </c>
      <c r="D114" s="95">
        <f t="shared" si="0"/>
        <v>5.3051074017199497E-3</v>
      </c>
      <c r="E114" s="84"/>
    </row>
    <row r="115" spans="1:5" x14ac:dyDescent="0.2">
      <c r="A115" s="87">
        <v>5126</v>
      </c>
      <c r="B115" s="84" t="s">
        <v>254</v>
      </c>
      <c r="C115" s="85">
        <f>5805073.92+101037.56+22139+819581.34+19482.06+56874.19</f>
        <v>6824188.0699999994</v>
      </c>
      <c r="D115" s="95">
        <f t="shared" si="0"/>
        <v>2.4193279353154275E-2</v>
      </c>
      <c r="E115" s="84"/>
    </row>
    <row r="116" spans="1:5" x14ac:dyDescent="0.2">
      <c r="A116" s="87">
        <v>5127</v>
      </c>
      <c r="B116" s="84" t="s">
        <v>255</v>
      </c>
      <c r="C116" s="85">
        <f>2528682.37+43641.03+340558.67+10464.07+15621.2</f>
        <v>2938967.34</v>
      </c>
      <c r="D116" s="95">
        <f t="shared" si="0"/>
        <v>1.0419299283235718E-2</v>
      </c>
      <c r="E116" s="84"/>
    </row>
    <row r="117" spans="1:5" x14ac:dyDescent="0.2">
      <c r="A117" s="87">
        <v>5128</v>
      </c>
      <c r="B117" s="84" t="s">
        <v>256</v>
      </c>
      <c r="C117" s="85">
        <v>0</v>
      </c>
      <c r="D117" s="95">
        <f t="shared" si="0"/>
        <v>0</v>
      </c>
      <c r="E117" s="84"/>
    </row>
    <row r="118" spans="1:5" x14ac:dyDescent="0.2">
      <c r="A118" s="87">
        <v>5129</v>
      </c>
      <c r="B118" s="84" t="s">
        <v>257</v>
      </c>
      <c r="C118" s="85">
        <f>4029711.86+65271.8+5883.36+142666.77+29976.03+29150.34</f>
        <v>4302660.1599999992</v>
      </c>
      <c r="D118" s="95">
        <f t="shared" si="0"/>
        <v>1.5253896602027184E-2</v>
      </c>
      <c r="E118" s="84"/>
    </row>
    <row r="119" spans="1:5" x14ac:dyDescent="0.2">
      <c r="A119" s="87">
        <v>5130</v>
      </c>
      <c r="B119" s="84" t="s">
        <v>258</v>
      </c>
      <c r="C119" s="85">
        <f>SUM(C120:C128)</f>
        <v>71744399.359999985</v>
      </c>
      <c r="D119" s="95">
        <f t="shared" si="0"/>
        <v>0.25435000881221942</v>
      </c>
      <c r="E119" s="84"/>
    </row>
    <row r="120" spans="1:5" x14ac:dyDescent="0.2">
      <c r="A120" s="87">
        <v>5131</v>
      </c>
      <c r="B120" s="84" t="s">
        <v>259</v>
      </c>
      <c r="C120" s="85">
        <f>29188915.97+1315422.03+34507.81+561216.2+20503.01+7610</f>
        <v>31128175.02</v>
      </c>
      <c r="D120" s="95">
        <f t="shared" si="0"/>
        <v>0.11035637152549031</v>
      </c>
      <c r="E120" s="84"/>
    </row>
    <row r="121" spans="1:5" x14ac:dyDescent="0.2">
      <c r="A121" s="87">
        <v>5132</v>
      </c>
      <c r="B121" s="84" t="s">
        <v>260</v>
      </c>
      <c r="C121" s="85">
        <f>777755.45+18400+10022.4+128181.85+6844</f>
        <v>941203.7</v>
      </c>
      <c r="D121" s="95">
        <f t="shared" si="0"/>
        <v>3.3367785015225131E-3</v>
      </c>
      <c r="E121" s="84"/>
    </row>
    <row r="122" spans="1:5" x14ac:dyDescent="0.2">
      <c r="A122" s="87">
        <v>5133</v>
      </c>
      <c r="B122" s="84" t="s">
        <v>261</v>
      </c>
      <c r="C122" s="85">
        <f>7502262.02+130662.5+5361.98+204571.03+1149917.02+37112.88</f>
        <v>9029887.4300000016</v>
      </c>
      <c r="D122" s="95">
        <f t="shared" si="0"/>
        <v>3.2012978962569293E-2</v>
      </c>
      <c r="E122" s="84"/>
    </row>
    <row r="123" spans="1:5" x14ac:dyDescent="0.2">
      <c r="A123" s="87">
        <v>5134</v>
      </c>
      <c r="B123" s="84" t="s">
        <v>262</v>
      </c>
      <c r="C123" s="85">
        <f>2107190.43+8993+19053.18+255633.24+22239.87+11934.88</f>
        <v>2425044.6000000006</v>
      </c>
      <c r="D123" s="95">
        <f t="shared" si="0"/>
        <v>8.5973277479819352E-3</v>
      </c>
      <c r="E123" s="84"/>
    </row>
    <row r="124" spans="1:5" x14ac:dyDescent="0.2">
      <c r="A124" s="87">
        <v>5135</v>
      </c>
      <c r="B124" s="84" t="s">
        <v>263</v>
      </c>
      <c r="C124" s="85">
        <f>9579392.45+405808.38+7581.2+765955.8+71413.36+55045.44</f>
        <v>10885196.629999999</v>
      </c>
      <c r="D124" s="95">
        <f t="shared" si="0"/>
        <v>3.8590466760627169E-2</v>
      </c>
      <c r="E124" s="84"/>
    </row>
    <row r="125" spans="1:5" x14ac:dyDescent="0.2">
      <c r="A125" s="87">
        <v>5136</v>
      </c>
      <c r="B125" s="84" t="s">
        <v>264</v>
      </c>
      <c r="C125" s="85">
        <f>3129357.91+2747.8+46960</f>
        <v>3179065.71</v>
      </c>
      <c r="D125" s="95">
        <f t="shared" si="0"/>
        <v>1.1270501928599946E-2</v>
      </c>
      <c r="E125" s="84"/>
    </row>
    <row r="126" spans="1:5" x14ac:dyDescent="0.2">
      <c r="A126" s="87">
        <v>5137</v>
      </c>
      <c r="B126" s="84" t="s">
        <v>265</v>
      </c>
      <c r="C126" s="85">
        <f>211402.37+49865.81+9214.57+38390.55</f>
        <v>308873.3</v>
      </c>
      <c r="D126" s="95">
        <f t="shared" si="0"/>
        <v>1.0950252183818589E-3</v>
      </c>
      <c r="E126" s="84"/>
    </row>
    <row r="127" spans="1:5" x14ac:dyDescent="0.2">
      <c r="A127" s="87">
        <v>5138</v>
      </c>
      <c r="B127" s="84" t="s">
        <v>266</v>
      </c>
      <c r="C127" s="85">
        <f>92581.84+43003.88+251661.71+1450758.81+209073+87285.05</f>
        <v>2134364.29</v>
      </c>
      <c r="D127" s="95">
        <f t="shared" si="0"/>
        <v>7.5668007651153125E-3</v>
      </c>
      <c r="E127" s="84"/>
    </row>
    <row r="128" spans="1:5" x14ac:dyDescent="0.2">
      <c r="A128" s="87">
        <v>5139</v>
      </c>
      <c r="B128" s="84" t="s">
        <v>267</v>
      </c>
      <c r="C128" s="85">
        <f>10241908.64+201687+51009+1072627.04+25000+120357</f>
        <v>11712588.68</v>
      </c>
      <c r="D128" s="95">
        <f t="shared" si="0"/>
        <v>4.1523757401931115E-2</v>
      </c>
      <c r="E128" s="84"/>
    </row>
    <row r="129" spans="1:5" x14ac:dyDescent="0.2">
      <c r="A129" s="87">
        <v>5200</v>
      </c>
      <c r="B129" s="84" t="s">
        <v>268</v>
      </c>
      <c r="C129" s="85">
        <f>C130+C133+C136+C139+C144+C148+C151+C153+C159</f>
        <v>4082890.94</v>
      </c>
      <c r="D129" s="95">
        <f t="shared" si="0"/>
        <v>1.4474765359138563E-2</v>
      </c>
      <c r="E129" s="84"/>
    </row>
    <row r="130" spans="1:5" x14ac:dyDescent="0.2">
      <c r="A130" s="87">
        <v>5210</v>
      </c>
      <c r="B130" s="84" t="s">
        <v>269</v>
      </c>
      <c r="C130" s="85">
        <f>SUM(C131:C132)</f>
        <v>0</v>
      </c>
      <c r="D130" s="95">
        <f t="shared" si="0"/>
        <v>0</v>
      </c>
      <c r="E130" s="84"/>
    </row>
    <row r="131" spans="1:5" x14ac:dyDescent="0.2">
      <c r="A131" s="87">
        <v>5211</v>
      </c>
      <c r="B131" s="84" t="s">
        <v>270</v>
      </c>
      <c r="C131" s="85">
        <v>0</v>
      </c>
      <c r="D131" s="95">
        <f t="shared" si="0"/>
        <v>0</v>
      </c>
      <c r="E131" s="84"/>
    </row>
    <row r="132" spans="1:5" x14ac:dyDescent="0.2">
      <c r="A132" s="87">
        <v>5212</v>
      </c>
      <c r="B132" s="84" t="s">
        <v>271</v>
      </c>
      <c r="C132" s="85">
        <v>0</v>
      </c>
      <c r="D132" s="95">
        <f t="shared" si="0"/>
        <v>0</v>
      </c>
      <c r="E132" s="84"/>
    </row>
    <row r="133" spans="1:5" x14ac:dyDescent="0.2">
      <c r="A133" s="87">
        <v>5220</v>
      </c>
      <c r="B133" s="84" t="s">
        <v>272</v>
      </c>
      <c r="C133" s="85">
        <f>SUM(C134:C135)</f>
        <v>0</v>
      </c>
      <c r="D133" s="95">
        <f t="shared" si="0"/>
        <v>0</v>
      </c>
      <c r="E133" s="84"/>
    </row>
    <row r="134" spans="1:5" x14ac:dyDescent="0.2">
      <c r="A134" s="87">
        <v>5221</v>
      </c>
      <c r="B134" s="84" t="s">
        <v>273</v>
      </c>
      <c r="C134" s="85">
        <v>0</v>
      </c>
      <c r="D134" s="95">
        <f t="shared" si="0"/>
        <v>0</v>
      </c>
      <c r="E134" s="84"/>
    </row>
    <row r="135" spans="1:5" x14ac:dyDescent="0.2">
      <c r="A135" s="87">
        <v>5222</v>
      </c>
      <c r="B135" s="84" t="s">
        <v>274</v>
      </c>
      <c r="C135" s="85">
        <v>0</v>
      </c>
      <c r="D135" s="95">
        <f t="shared" si="0"/>
        <v>0</v>
      </c>
      <c r="E135" s="84"/>
    </row>
    <row r="136" spans="1:5" x14ac:dyDescent="0.2">
      <c r="A136" s="87">
        <v>5230</v>
      </c>
      <c r="B136" s="84" t="s">
        <v>219</v>
      </c>
      <c r="C136" s="85">
        <f>SUM(C137:C138)</f>
        <v>0</v>
      </c>
      <c r="D136" s="95">
        <f t="shared" si="0"/>
        <v>0</v>
      </c>
      <c r="E136" s="84"/>
    </row>
    <row r="137" spans="1:5" x14ac:dyDescent="0.2">
      <c r="A137" s="87">
        <v>5231</v>
      </c>
      <c r="B137" s="84" t="s">
        <v>275</v>
      </c>
      <c r="C137" s="85">
        <v>0</v>
      </c>
      <c r="D137" s="95">
        <f t="shared" si="0"/>
        <v>0</v>
      </c>
      <c r="E137" s="84"/>
    </row>
    <row r="138" spans="1:5" x14ac:dyDescent="0.2">
      <c r="A138" s="87">
        <v>5232</v>
      </c>
      <c r="B138" s="84" t="s">
        <v>276</v>
      </c>
      <c r="C138" s="85">
        <v>0</v>
      </c>
      <c r="D138" s="95">
        <f t="shared" si="0"/>
        <v>0</v>
      </c>
      <c r="E138" s="84"/>
    </row>
    <row r="139" spans="1:5" x14ac:dyDescent="0.2">
      <c r="A139" s="87">
        <v>5240</v>
      </c>
      <c r="B139" s="84" t="s">
        <v>220</v>
      </c>
      <c r="C139" s="85">
        <f>SUM(C140:C143)</f>
        <v>4082890.94</v>
      </c>
      <c r="D139" s="95">
        <f t="shared" si="0"/>
        <v>1.4474765359138563E-2</v>
      </c>
      <c r="E139" s="84"/>
    </row>
    <row r="140" spans="1:5" x14ac:dyDescent="0.2">
      <c r="A140" s="87">
        <v>5241</v>
      </c>
      <c r="B140" s="84" t="s">
        <v>277</v>
      </c>
      <c r="C140" s="85">
        <f>76992.1+4005898.84</f>
        <v>4082890.94</v>
      </c>
      <c r="D140" s="95">
        <f t="shared" si="0"/>
        <v>1.4474765359138563E-2</v>
      </c>
      <c r="E140" s="84"/>
    </row>
    <row r="141" spans="1:5" x14ac:dyDescent="0.2">
      <c r="A141" s="87">
        <v>5242</v>
      </c>
      <c r="B141" s="84" t="s">
        <v>278</v>
      </c>
      <c r="C141" s="85">
        <v>0</v>
      </c>
      <c r="D141" s="95">
        <f t="shared" si="0"/>
        <v>0</v>
      </c>
      <c r="E141" s="84"/>
    </row>
    <row r="142" spans="1:5" x14ac:dyDescent="0.2">
      <c r="A142" s="87">
        <v>5243</v>
      </c>
      <c r="B142" s="84" t="s">
        <v>279</v>
      </c>
      <c r="C142" s="85">
        <v>0</v>
      </c>
      <c r="D142" s="95">
        <f t="shared" si="0"/>
        <v>0</v>
      </c>
      <c r="E142" s="84"/>
    </row>
    <row r="143" spans="1:5" x14ac:dyDescent="0.2">
      <c r="A143" s="87">
        <v>5244</v>
      </c>
      <c r="B143" s="84" t="s">
        <v>280</v>
      </c>
      <c r="C143" s="85">
        <v>0</v>
      </c>
      <c r="D143" s="95">
        <f t="shared" si="0"/>
        <v>0</v>
      </c>
      <c r="E143" s="84"/>
    </row>
    <row r="144" spans="1:5" x14ac:dyDescent="0.2">
      <c r="A144" s="87">
        <v>5250</v>
      </c>
      <c r="B144" s="84" t="s">
        <v>221</v>
      </c>
      <c r="C144" s="85">
        <f>SUM(C145:C147)</f>
        <v>0</v>
      </c>
      <c r="D144" s="95">
        <f t="shared" si="0"/>
        <v>0</v>
      </c>
      <c r="E144" s="84"/>
    </row>
    <row r="145" spans="1:5" x14ac:dyDescent="0.2">
      <c r="A145" s="87">
        <v>5251</v>
      </c>
      <c r="B145" s="84" t="s">
        <v>281</v>
      </c>
      <c r="C145" s="85">
        <v>0</v>
      </c>
      <c r="D145" s="95">
        <f t="shared" si="0"/>
        <v>0</v>
      </c>
      <c r="E145" s="84"/>
    </row>
    <row r="146" spans="1:5" x14ac:dyDescent="0.2">
      <c r="A146" s="87">
        <v>5252</v>
      </c>
      <c r="B146" s="84" t="s">
        <v>282</v>
      </c>
      <c r="C146" s="85">
        <v>0</v>
      </c>
      <c r="D146" s="95">
        <f t="shared" si="0"/>
        <v>0</v>
      </c>
      <c r="E146" s="84"/>
    </row>
    <row r="147" spans="1:5" x14ac:dyDescent="0.2">
      <c r="A147" s="87">
        <v>5259</v>
      </c>
      <c r="B147" s="84" t="s">
        <v>283</v>
      </c>
      <c r="C147" s="85">
        <v>0</v>
      </c>
      <c r="D147" s="95">
        <f t="shared" si="0"/>
        <v>0</v>
      </c>
      <c r="E147" s="84"/>
    </row>
    <row r="148" spans="1:5" x14ac:dyDescent="0.2">
      <c r="A148" s="87">
        <v>5260</v>
      </c>
      <c r="B148" s="84" t="s">
        <v>284</v>
      </c>
      <c r="C148" s="85">
        <f>SUM(C149:C150)</f>
        <v>0</v>
      </c>
      <c r="D148" s="95">
        <f t="shared" si="0"/>
        <v>0</v>
      </c>
      <c r="E148" s="84"/>
    </row>
    <row r="149" spans="1:5" x14ac:dyDescent="0.2">
      <c r="A149" s="87">
        <v>5261</v>
      </c>
      <c r="B149" s="84" t="s">
        <v>285</v>
      </c>
      <c r="C149" s="85">
        <v>0</v>
      </c>
      <c r="D149" s="95">
        <f t="shared" si="0"/>
        <v>0</v>
      </c>
      <c r="E149" s="84"/>
    </row>
    <row r="150" spans="1:5" x14ac:dyDescent="0.2">
      <c r="A150" s="87">
        <v>5262</v>
      </c>
      <c r="B150" s="84" t="s">
        <v>286</v>
      </c>
      <c r="C150" s="85">
        <v>0</v>
      </c>
      <c r="D150" s="95">
        <f t="shared" si="0"/>
        <v>0</v>
      </c>
      <c r="E150" s="84"/>
    </row>
    <row r="151" spans="1:5" x14ac:dyDescent="0.2">
      <c r="A151" s="87">
        <v>5270</v>
      </c>
      <c r="B151" s="84" t="s">
        <v>287</v>
      </c>
      <c r="C151" s="85">
        <f>SUM(C152)</f>
        <v>0</v>
      </c>
      <c r="D151" s="95">
        <f t="shared" si="0"/>
        <v>0</v>
      </c>
      <c r="E151" s="84"/>
    </row>
    <row r="152" spans="1:5" x14ac:dyDescent="0.2">
      <c r="A152" s="87">
        <v>5271</v>
      </c>
      <c r="B152" s="84" t="s">
        <v>288</v>
      </c>
      <c r="C152" s="85">
        <v>0</v>
      </c>
      <c r="D152" s="95">
        <f t="shared" si="0"/>
        <v>0</v>
      </c>
      <c r="E152" s="84"/>
    </row>
    <row r="153" spans="1:5" x14ac:dyDescent="0.2">
      <c r="A153" s="87">
        <v>5280</v>
      </c>
      <c r="B153" s="84" t="s">
        <v>289</v>
      </c>
      <c r="C153" s="85">
        <f>SUM(C154:C158)</f>
        <v>0</v>
      </c>
      <c r="D153" s="95">
        <f t="shared" si="0"/>
        <v>0</v>
      </c>
      <c r="E153" s="84"/>
    </row>
    <row r="154" spans="1:5" x14ac:dyDescent="0.2">
      <c r="A154" s="87">
        <v>5281</v>
      </c>
      <c r="B154" s="84" t="s">
        <v>290</v>
      </c>
      <c r="C154" s="85">
        <v>0</v>
      </c>
      <c r="D154" s="95">
        <f t="shared" si="0"/>
        <v>0</v>
      </c>
      <c r="E154" s="84"/>
    </row>
    <row r="155" spans="1:5" x14ac:dyDescent="0.2">
      <c r="A155" s="87">
        <v>5282</v>
      </c>
      <c r="B155" s="84" t="s">
        <v>291</v>
      </c>
      <c r="C155" s="85">
        <v>0</v>
      </c>
      <c r="D155" s="95">
        <f t="shared" si="0"/>
        <v>0</v>
      </c>
      <c r="E155" s="84"/>
    </row>
    <row r="156" spans="1:5" x14ac:dyDescent="0.2">
      <c r="A156" s="87">
        <v>5283</v>
      </c>
      <c r="B156" s="84" t="s">
        <v>292</v>
      </c>
      <c r="C156" s="85">
        <v>0</v>
      </c>
      <c r="D156" s="95">
        <f t="shared" si="0"/>
        <v>0</v>
      </c>
      <c r="E156" s="84"/>
    </row>
    <row r="157" spans="1:5" x14ac:dyDescent="0.2">
      <c r="A157" s="87">
        <v>5284</v>
      </c>
      <c r="B157" s="84" t="s">
        <v>293</v>
      </c>
      <c r="C157" s="85">
        <v>0</v>
      </c>
      <c r="D157" s="95">
        <f t="shared" si="0"/>
        <v>0</v>
      </c>
      <c r="E157" s="84"/>
    </row>
    <row r="158" spans="1:5" x14ac:dyDescent="0.2">
      <c r="A158" s="87">
        <v>5285</v>
      </c>
      <c r="B158" s="84" t="s">
        <v>294</v>
      </c>
      <c r="C158" s="85">
        <v>0</v>
      </c>
      <c r="D158" s="95">
        <f t="shared" si="0"/>
        <v>0</v>
      </c>
      <c r="E158" s="84"/>
    </row>
    <row r="159" spans="1:5" x14ac:dyDescent="0.2">
      <c r="A159" s="87">
        <v>5290</v>
      </c>
      <c r="B159" s="84" t="s">
        <v>295</v>
      </c>
      <c r="C159" s="85">
        <f>SUM(C160:C161)</f>
        <v>0</v>
      </c>
      <c r="D159" s="95">
        <f t="shared" si="0"/>
        <v>0</v>
      </c>
      <c r="E159" s="84"/>
    </row>
    <row r="160" spans="1:5" x14ac:dyDescent="0.2">
      <c r="A160" s="87">
        <v>5291</v>
      </c>
      <c r="B160" s="84" t="s">
        <v>296</v>
      </c>
      <c r="C160" s="85">
        <v>0</v>
      </c>
      <c r="D160" s="95">
        <f t="shared" si="0"/>
        <v>0</v>
      </c>
      <c r="E160" s="84"/>
    </row>
    <row r="161" spans="1:5" x14ac:dyDescent="0.2">
      <c r="A161" s="87">
        <v>5292</v>
      </c>
      <c r="B161" s="84" t="s">
        <v>297</v>
      </c>
      <c r="C161" s="85">
        <v>0</v>
      </c>
      <c r="D161" s="95">
        <f t="shared" si="0"/>
        <v>0</v>
      </c>
      <c r="E161" s="84"/>
    </row>
    <row r="162" spans="1:5" x14ac:dyDescent="0.2">
      <c r="A162" s="87">
        <v>5300</v>
      </c>
      <c r="B162" s="84" t="s">
        <v>298</v>
      </c>
      <c r="C162" s="85">
        <f>C163+C166+C169</f>
        <v>0</v>
      </c>
      <c r="D162" s="95">
        <f t="shared" si="0"/>
        <v>0</v>
      </c>
      <c r="E162" s="84"/>
    </row>
    <row r="163" spans="1:5" x14ac:dyDescent="0.2">
      <c r="A163" s="87">
        <v>5310</v>
      </c>
      <c r="B163" s="84" t="s">
        <v>214</v>
      </c>
      <c r="C163" s="85">
        <f>C164+C165</f>
        <v>0</v>
      </c>
      <c r="D163" s="95">
        <f t="shared" si="0"/>
        <v>0</v>
      </c>
      <c r="E163" s="84"/>
    </row>
    <row r="164" spans="1:5" x14ac:dyDescent="0.2">
      <c r="A164" s="87">
        <v>5311</v>
      </c>
      <c r="B164" s="84" t="s">
        <v>299</v>
      </c>
      <c r="C164" s="85">
        <v>0</v>
      </c>
      <c r="D164" s="95">
        <f t="shared" si="0"/>
        <v>0</v>
      </c>
      <c r="E164" s="84"/>
    </row>
    <row r="165" spans="1:5" x14ac:dyDescent="0.2">
      <c r="A165" s="87">
        <v>5312</v>
      </c>
      <c r="B165" s="84" t="s">
        <v>300</v>
      </c>
      <c r="C165" s="85">
        <v>0</v>
      </c>
      <c r="D165" s="95">
        <f t="shared" si="0"/>
        <v>0</v>
      </c>
      <c r="E165" s="84"/>
    </row>
    <row r="166" spans="1:5" x14ac:dyDescent="0.2">
      <c r="A166" s="87">
        <v>5320</v>
      </c>
      <c r="B166" s="84" t="s">
        <v>215</v>
      </c>
      <c r="C166" s="85">
        <f>SUM(C167:C168)</f>
        <v>0</v>
      </c>
      <c r="D166" s="95">
        <f t="shared" ref="D166:D218" si="1">C166/$C$100</f>
        <v>0</v>
      </c>
      <c r="E166" s="84"/>
    </row>
    <row r="167" spans="1:5" x14ac:dyDescent="0.2">
      <c r="A167" s="87">
        <v>5321</v>
      </c>
      <c r="B167" s="84" t="s">
        <v>301</v>
      </c>
      <c r="C167" s="85">
        <v>0</v>
      </c>
      <c r="D167" s="95">
        <f t="shared" si="1"/>
        <v>0</v>
      </c>
      <c r="E167" s="84"/>
    </row>
    <row r="168" spans="1:5" x14ac:dyDescent="0.2">
      <c r="A168" s="87">
        <v>5322</v>
      </c>
      <c r="B168" s="84" t="s">
        <v>302</v>
      </c>
      <c r="C168" s="85">
        <v>0</v>
      </c>
      <c r="D168" s="95">
        <f t="shared" si="1"/>
        <v>0</v>
      </c>
      <c r="E168" s="84"/>
    </row>
    <row r="169" spans="1:5" x14ac:dyDescent="0.2">
      <c r="A169" s="87">
        <v>5330</v>
      </c>
      <c r="B169" s="84" t="s">
        <v>216</v>
      </c>
      <c r="C169" s="85">
        <f>SUM(C170:C171)</f>
        <v>0</v>
      </c>
      <c r="D169" s="95">
        <f t="shared" si="1"/>
        <v>0</v>
      </c>
      <c r="E169" s="84"/>
    </row>
    <row r="170" spans="1:5" x14ac:dyDescent="0.2">
      <c r="A170" s="87">
        <v>5331</v>
      </c>
      <c r="B170" s="84" t="s">
        <v>303</v>
      </c>
      <c r="C170" s="85">
        <v>0</v>
      </c>
      <c r="D170" s="95">
        <f t="shared" si="1"/>
        <v>0</v>
      </c>
      <c r="E170" s="84"/>
    </row>
    <row r="171" spans="1:5" x14ac:dyDescent="0.2">
      <c r="A171" s="87">
        <v>5332</v>
      </c>
      <c r="B171" s="84" t="s">
        <v>304</v>
      </c>
      <c r="C171" s="85">
        <v>0</v>
      </c>
      <c r="D171" s="95">
        <f t="shared" si="1"/>
        <v>0</v>
      </c>
      <c r="E171" s="84"/>
    </row>
    <row r="172" spans="1:5" x14ac:dyDescent="0.2">
      <c r="A172" s="87">
        <v>5400</v>
      </c>
      <c r="B172" s="84" t="s">
        <v>305</v>
      </c>
      <c r="C172" s="85">
        <f>C173+C176+C179+C182+C184</f>
        <v>0</v>
      </c>
      <c r="D172" s="95">
        <f t="shared" si="1"/>
        <v>0</v>
      </c>
      <c r="E172" s="84"/>
    </row>
    <row r="173" spans="1:5" x14ac:dyDescent="0.2">
      <c r="A173" s="87">
        <v>5410</v>
      </c>
      <c r="B173" s="84" t="s">
        <v>306</v>
      </c>
      <c r="C173" s="85">
        <f>SUM(C174:C175)</f>
        <v>0</v>
      </c>
      <c r="D173" s="95">
        <f t="shared" si="1"/>
        <v>0</v>
      </c>
      <c r="E173" s="84"/>
    </row>
    <row r="174" spans="1:5" x14ac:dyDescent="0.2">
      <c r="A174" s="87">
        <v>5411</v>
      </c>
      <c r="B174" s="84" t="s">
        <v>307</v>
      </c>
      <c r="C174" s="85">
        <v>0</v>
      </c>
      <c r="D174" s="95">
        <f t="shared" si="1"/>
        <v>0</v>
      </c>
      <c r="E174" s="84"/>
    </row>
    <row r="175" spans="1:5" x14ac:dyDescent="0.2">
      <c r="A175" s="87">
        <v>5412</v>
      </c>
      <c r="B175" s="84" t="s">
        <v>308</v>
      </c>
      <c r="C175" s="85">
        <v>0</v>
      </c>
      <c r="D175" s="95">
        <f t="shared" si="1"/>
        <v>0</v>
      </c>
      <c r="E175" s="84"/>
    </row>
    <row r="176" spans="1:5" x14ac:dyDescent="0.2">
      <c r="A176" s="87">
        <v>5420</v>
      </c>
      <c r="B176" s="84" t="s">
        <v>309</v>
      </c>
      <c r="C176" s="85">
        <f>SUM(C177:C178)</f>
        <v>0</v>
      </c>
      <c r="D176" s="95">
        <f t="shared" si="1"/>
        <v>0</v>
      </c>
      <c r="E176" s="84"/>
    </row>
    <row r="177" spans="1:5" x14ac:dyDescent="0.2">
      <c r="A177" s="87">
        <v>5421</v>
      </c>
      <c r="B177" s="84" t="s">
        <v>310</v>
      </c>
      <c r="C177" s="85">
        <v>0</v>
      </c>
      <c r="D177" s="95">
        <f t="shared" si="1"/>
        <v>0</v>
      </c>
      <c r="E177" s="84"/>
    </row>
    <row r="178" spans="1:5" x14ac:dyDescent="0.2">
      <c r="A178" s="87">
        <v>5422</v>
      </c>
      <c r="B178" s="84" t="s">
        <v>311</v>
      </c>
      <c r="C178" s="85">
        <v>0</v>
      </c>
      <c r="D178" s="95">
        <f t="shared" si="1"/>
        <v>0</v>
      </c>
      <c r="E178" s="84"/>
    </row>
    <row r="179" spans="1:5" x14ac:dyDescent="0.2">
      <c r="A179" s="87">
        <v>5430</v>
      </c>
      <c r="B179" s="84" t="s">
        <v>312</v>
      </c>
      <c r="C179" s="85">
        <f>SUM(C180:C181)</f>
        <v>0</v>
      </c>
      <c r="D179" s="95">
        <f t="shared" si="1"/>
        <v>0</v>
      </c>
      <c r="E179" s="84"/>
    </row>
    <row r="180" spans="1:5" x14ac:dyDescent="0.2">
      <c r="A180" s="87">
        <v>5431</v>
      </c>
      <c r="B180" s="84" t="s">
        <v>313</v>
      </c>
      <c r="C180" s="85">
        <v>0</v>
      </c>
      <c r="D180" s="95">
        <f t="shared" si="1"/>
        <v>0</v>
      </c>
      <c r="E180" s="84"/>
    </row>
    <row r="181" spans="1:5" x14ac:dyDescent="0.2">
      <c r="A181" s="87">
        <v>5432</v>
      </c>
      <c r="B181" s="84" t="s">
        <v>314</v>
      </c>
      <c r="C181" s="85">
        <v>0</v>
      </c>
      <c r="D181" s="95">
        <f t="shared" si="1"/>
        <v>0</v>
      </c>
      <c r="E181" s="84"/>
    </row>
    <row r="182" spans="1:5" x14ac:dyDescent="0.2">
      <c r="A182" s="87">
        <v>5440</v>
      </c>
      <c r="B182" s="84" t="s">
        <v>315</v>
      </c>
      <c r="C182" s="85">
        <f>SUM(C183)</f>
        <v>0</v>
      </c>
      <c r="D182" s="95">
        <f t="shared" si="1"/>
        <v>0</v>
      </c>
      <c r="E182" s="84"/>
    </row>
    <row r="183" spans="1:5" x14ac:dyDescent="0.2">
      <c r="A183" s="87">
        <v>5441</v>
      </c>
      <c r="B183" s="84" t="s">
        <v>315</v>
      </c>
      <c r="C183" s="85">
        <v>0</v>
      </c>
      <c r="D183" s="95">
        <f t="shared" si="1"/>
        <v>0</v>
      </c>
      <c r="E183" s="84"/>
    </row>
    <row r="184" spans="1:5" x14ac:dyDescent="0.2">
      <c r="A184" s="87">
        <v>5450</v>
      </c>
      <c r="B184" s="84" t="s">
        <v>316</v>
      </c>
      <c r="C184" s="85">
        <f>SUM(C185:C186)</f>
        <v>0</v>
      </c>
      <c r="D184" s="95">
        <f t="shared" si="1"/>
        <v>0</v>
      </c>
      <c r="E184" s="84"/>
    </row>
    <row r="185" spans="1:5" x14ac:dyDescent="0.2">
      <c r="A185" s="87">
        <v>5451</v>
      </c>
      <c r="B185" s="84" t="s">
        <v>317</v>
      </c>
      <c r="C185" s="85">
        <v>0</v>
      </c>
      <c r="D185" s="95">
        <f t="shared" si="1"/>
        <v>0</v>
      </c>
      <c r="E185" s="84"/>
    </row>
    <row r="186" spans="1:5" x14ac:dyDescent="0.2">
      <c r="A186" s="87">
        <v>5452</v>
      </c>
      <c r="B186" s="84" t="s">
        <v>318</v>
      </c>
      <c r="C186" s="85">
        <v>0</v>
      </c>
      <c r="D186" s="95">
        <f t="shared" si="1"/>
        <v>0</v>
      </c>
      <c r="E186" s="84"/>
    </row>
    <row r="187" spans="1:5" x14ac:dyDescent="0.2">
      <c r="A187" s="87">
        <v>5500</v>
      </c>
      <c r="B187" s="84" t="s">
        <v>319</v>
      </c>
      <c r="C187" s="85">
        <f>C188+C197+C200+C206</f>
        <v>28238343.170000002</v>
      </c>
      <c r="D187" s="95">
        <f t="shared" si="1"/>
        <v>0.10011126858964865</v>
      </c>
      <c r="E187" s="84"/>
    </row>
    <row r="188" spans="1:5" x14ac:dyDescent="0.2">
      <c r="A188" s="87">
        <v>5510</v>
      </c>
      <c r="B188" s="84" t="s">
        <v>320</v>
      </c>
      <c r="C188" s="85">
        <f>SUM(C189:C196)</f>
        <v>28238330.150000002</v>
      </c>
      <c r="D188" s="95">
        <f t="shared" si="1"/>
        <v>0.1001112224308245</v>
      </c>
      <c r="E188" s="84"/>
    </row>
    <row r="189" spans="1:5" x14ac:dyDescent="0.2">
      <c r="A189" s="87">
        <v>5511</v>
      </c>
      <c r="B189" s="84" t="s">
        <v>321</v>
      </c>
      <c r="C189" s="85">
        <v>0</v>
      </c>
      <c r="D189" s="95">
        <f t="shared" si="1"/>
        <v>0</v>
      </c>
      <c r="E189" s="84"/>
    </row>
    <row r="190" spans="1:5" x14ac:dyDescent="0.2">
      <c r="A190" s="87">
        <v>5512</v>
      </c>
      <c r="B190" s="84" t="s">
        <v>322</v>
      </c>
      <c r="C190" s="85">
        <v>0</v>
      </c>
      <c r="D190" s="95">
        <f t="shared" si="1"/>
        <v>0</v>
      </c>
      <c r="E190" s="84"/>
    </row>
    <row r="191" spans="1:5" x14ac:dyDescent="0.2">
      <c r="A191" s="87">
        <v>5513</v>
      </c>
      <c r="B191" s="84" t="s">
        <v>323</v>
      </c>
      <c r="C191" s="85">
        <v>19830695.32</v>
      </c>
      <c r="D191" s="95">
        <f t="shared" si="1"/>
        <v>7.0304268687021859E-2</v>
      </c>
      <c r="E191" s="84"/>
    </row>
    <row r="192" spans="1:5" x14ac:dyDescent="0.2">
      <c r="A192" s="87">
        <v>5514</v>
      </c>
      <c r="B192" s="84" t="s">
        <v>324</v>
      </c>
      <c r="C192" s="85">
        <v>0</v>
      </c>
      <c r="D192" s="95">
        <f t="shared" si="1"/>
        <v>0</v>
      </c>
      <c r="E192" s="84"/>
    </row>
    <row r="193" spans="1:5" x14ac:dyDescent="0.2">
      <c r="A193" s="87">
        <v>5515</v>
      </c>
      <c r="B193" s="84" t="s">
        <v>325</v>
      </c>
      <c r="C193" s="85">
        <f>6926817.59+96970.35+802793.18+307067.5+50475.59</f>
        <v>8184124.209999999</v>
      </c>
      <c r="D193" s="95">
        <f t="shared" si="1"/>
        <v>2.9014558397632648E-2</v>
      </c>
      <c r="E193" s="84"/>
    </row>
    <row r="194" spans="1:5" x14ac:dyDescent="0.2">
      <c r="A194" s="87">
        <v>5516</v>
      </c>
      <c r="B194" s="84" t="s">
        <v>326</v>
      </c>
      <c r="C194" s="85">
        <v>0</v>
      </c>
      <c r="D194" s="95">
        <f t="shared" si="1"/>
        <v>0</v>
      </c>
      <c r="E194" s="84"/>
    </row>
    <row r="195" spans="1:5" x14ac:dyDescent="0.2">
      <c r="A195" s="87">
        <v>5517</v>
      </c>
      <c r="B195" s="84" t="s">
        <v>327</v>
      </c>
      <c r="C195" s="85">
        <f>205490.14+13720.48+4300</f>
        <v>223510.62000000002</v>
      </c>
      <c r="D195" s="95">
        <f t="shared" si="1"/>
        <v>7.923953461699821E-4</v>
      </c>
      <c r="E195" s="84"/>
    </row>
    <row r="196" spans="1:5" x14ac:dyDescent="0.2">
      <c r="A196" s="87">
        <v>5518</v>
      </c>
      <c r="B196" s="84" t="s">
        <v>38</v>
      </c>
      <c r="C196" s="85">
        <v>0</v>
      </c>
      <c r="D196" s="95">
        <f t="shared" si="1"/>
        <v>0</v>
      </c>
      <c r="E196" s="84"/>
    </row>
    <row r="197" spans="1:5" x14ac:dyDescent="0.2">
      <c r="A197" s="87">
        <v>5520</v>
      </c>
      <c r="B197" s="84" t="s">
        <v>37</v>
      </c>
      <c r="C197" s="85">
        <f>SUM(C198:C199)</f>
        <v>0</v>
      </c>
      <c r="D197" s="95">
        <f t="shared" si="1"/>
        <v>0</v>
      </c>
      <c r="E197" s="84"/>
    </row>
    <row r="198" spans="1:5" x14ac:dyDescent="0.2">
      <c r="A198" s="87">
        <v>5521</v>
      </c>
      <c r="B198" s="84" t="s">
        <v>328</v>
      </c>
      <c r="C198" s="85">
        <v>0</v>
      </c>
      <c r="D198" s="95">
        <f t="shared" si="1"/>
        <v>0</v>
      </c>
      <c r="E198" s="84"/>
    </row>
    <row r="199" spans="1:5" x14ac:dyDescent="0.2">
      <c r="A199" s="87">
        <v>5522</v>
      </c>
      <c r="B199" s="84" t="s">
        <v>329</v>
      </c>
      <c r="C199" s="85">
        <v>0</v>
      </c>
      <c r="D199" s="95">
        <f t="shared" si="1"/>
        <v>0</v>
      </c>
      <c r="E199" s="84"/>
    </row>
    <row r="200" spans="1:5" x14ac:dyDescent="0.2">
      <c r="A200" s="87">
        <v>5530</v>
      </c>
      <c r="B200" s="84" t="s">
        <v>330</v>
      </c>
      <c r="C200" s="85">
        <f>SUM(C201:C205)</f>
        <v>0</v>
      </c>
      <c r="D200" s="95">
        <f t="shared" si="1"/>
        <v>0</v>
      </c>
      <c r="E200" s="84"/>
    </row>
    <row r="201" spans="1:5" x14ac:dyDescent="0.2">
      <c r="A201" s="87">
        <v>5531</v>
      </c>
      <c r="B201" s="84" t="s">
        <v>331</v>
      </c>
      <c r="C201" s="85">
        <v>0</v>
      </c>
      <c r="D201" s="95">
        <f t="shared" si="1"/>
        <v>0</v>
      </c>
      <c r="E201" s="84"/>
    </row>
    <row r="202" spans="1:5" x14ac:dyDescent="0.2">
      <c r="A202" s="87">
        <v>5532</v>
      </c>
      <c r="B202" s="84" t="s">
        <v>332</v>
      </c>
      <c r="C202" s="85">
        <v>0</v>
      </c>
      <c r="D202" s="95">
        <f t="shared" si="1"/>
        <v>0</v>
      </c>
      <c r="E202" s="84"/>
    </row>
    <row r="203" spans="1:5" x14ac:dyDescent="0.2">
      <c r="A203" s="87">
        <v>5533</v>
      </c>
      <c r="B203" s="84" t="s">
        <v>333</v>
      </c>
      <c r="C203" s="85">
        <v>0</v>
      </c>
      <c r="D203" s="95">
        <f t="shared" si="1"/>
        <v>0</v>
      </c>
      <c r="E203" s="84"/>
    </row>
    <row r="204" spans="1:5" x14ac:dyDescent="0.2">
      <c r="A204" s="87">
        <v>5534</v>
      </c>
      <c r="B204" s="84" t="s">
        <v>334</v>
      </c>
      <c r="C204" s="85">
        <v>0</v>
      </c>
      <c r="D204" s="95">
        <f t="shared" si="1"/>
        <v>0</v>
      </c>
      <c r="E204" s="84"/>
    </row>
    <row r="205" spans="1:5" x14ac:dyDescent="0.2">
      <c r="A205" s="87">
        <v>5535</v>
      </c>
      <c r="B205" s="84" t="s">
        <v>335</v>
      </c>
      <c r="C205" s="85">
        <v>0</v>
      </c>
      <c r="D205" s="95">
        <f t="shared" si="1"/>
        <v>0</v>
      </c>
      <c r="E205" s="84"/>
    </row>
    <row r="206" spans="1:5" x14ac:dyDescent="0.2">
      <c r="A206" s="87">
        <v>5590</v>
      </c>
      <c r="B206" s="84" t="s">
        <v>336</v>
      </c>
      <c r="C206" s="85">
        <f>SUM(C207:C215)</f>
        <v>13.02</v>
      </c>
      <c r="D206" s="95">
        <f t="shared" si="1"/>
        <v>4.6158824162955501E-8</v>
      </c>
      <c r="E206" s="84"/>
    </row>
    <row r="207" spans="1:5" x14ac:dyDescent="0.2">
      <c r="A207" s="87">
        <v>5591</v>
      </c>
      <c r="B207" s="84" t="s">
        <v>337</v>
      </c>
      <c r="C207" s="85">
        <v>0</v>
      </c>
      <c r="D207" s="95">
        <f t="shared" si="1"/>
        <v>0</v>
      </c>
      <c r="E207" s="84"/>
    </row>
    <row r="208" spans="1:5" x14ac:dyDescent="0.2">
      <c r="A208" s="87">
        <v>5592</v>
      </c>
      <c r="B208" s="84" t="s">
        <v>338</v>
      </c>
      <c r="C208" s="85">
        <v>0</v>
      </c>
      <c r="D208" s="95">
        <f t="shared" si="1"/>
        <v>0</v>
      </c>
      <c r="E208" s="84"/>
    </row>
    <row r="209" spans="1:5" x14ac:dyDescent="0.2">
      <c r="A209" s="87">
        <v>5593</v>
      </c>
      <c r="B209" s="84" t="s">
        <v>339</v>
      </c>
      <c r="C209" s="85">
        <v>0</v>
      </c>
      <c r="D209" s="95">
        <f t="shared" si="1"/>
        <v>0</v>
      </c>
      <c r="E209" s="84"/>
    </row>
    <row r="210" spans="1:5" x14ac:dyDescent="0.2">
      <c r="A210" s="87">
        <v>5594</v>
      </c>
      <c r="B210" s="84" t="s">
        <v>392</v>
      </c>
      <c r="C210" s="85">
        <v>0</v>
      </c>
      <c r="D210" s="95">
        <f t="shared" si="1"/>
        <v>0</v>
      </c>
      <c r="E210" s="84"/>
    </row>
    <row r="211" spans="1:5" x14ac:dyDescent="0.2">
      <c r="A211" s="87">
        <v>5595</v>
      </c>
      <c r="B211" s="84" t="s">
        <v>341</v>
      </c>
      <c r="C211" s="85">
        <v>0</v>
      </c>
      <c r="D211" s="95">
        <f t="shared" si="1"/>
        <v>0</v>
      </c>
      <c r="E211" s="84"/>
    </row>
    <row r="212" spans="1:5" x14ac:dyDescent="0.2">
      <c r="A212" s="87">
        <v>5596</v>
      </c>
      <c r="B212" s="84" t="s">
        <v>236</v>
      </c>
      <c r="C212" s="85">
        <v>0</v>
      </c>
      <c r="D212" s="95">
        <f t="shared" si="1"/>
        <v>0</v>
      </c>
      <c r="E212" s="84"/>
    </row>
    <row r="213" spans="1:5" x14ac:dyDescent="0.2">
      <c r="A213" s="87">
        <v>5597</v>
      </c>
      <c r="B213" s="84" t="s">
        <v>342</v>
      </c>
      <c r="C213" s="85">
        <v>0</v>
      </c>
      <c r="D213" s="95">
        <f t="shared" si="1"/>
        <v>0</v>
      </c>
      <c r="E213" s="84"/>
    </row>
    <row r="214" spans="1:5" x14ac:dyDescent="0.2">
      <c r="A214" s="87">
        <v>5598</v>
      </c>
      <c r="B214" s="84" t="s">
        <v>393</v>
      </c>
      <c r="C214" s="85">
        <v>0</v>
      </c>
      <c r="D214" s="95">
        <f t="shared" si="1"/>
        <v>0</v>
      </c>
      <c r="E214" s="84"/>
    </row>
    <row r="215" spans="1:5" x14ac:dyDescent="0.2">
      <c r="A215" s="87">
        <v>5599</v>
      </c>
      <c r="B215" s="84" t="s">
        <v>343</v>
      </c>
      <c r="C215" s="85">
        <v>13.02</v>
      </c>
      <c r="D215" s="95">
        <f t="shared" si="1"/>
        <v>4.6158824162955501E-8</v>
      </c>
      <c r="E215" s="84"/>
    </row>
    <row r="216" spans="1:5" x14ac:dyDescent="0.2">
      <c r="A216" s="87">
        <v>5600</v>
      </c>
      <c r="B216" s="84" t="s">
        <v>36</v>
      </c>
      <c r="C216" s="85">
        <f>C217</f>
        <v>159133.39000000001</v>
      </c>
      <c r="D216" s="95">
        <f t="shared" si="1"/>
        <v>5.6416360733218293E-4</v>
      </c>
      <c r="E216" s="84"/>
    </row>
    <row r="217" spans="1:5" x14ac:dyDescent="0.2">
      <c r="A217" s="87">
        <v>5610</v>
      </c>
      <c r="B217" s="84" t="s">
        <v>344</v>
      </c>
      <c r="C217" s="85">
        <f>C218</f>
        <v>159133.39000000001</v>
      </c>
      <c r="D217" s="95">
        <f t="shared" si="1"/>
        <v>5.6416360733218293E-4</v>
      </c>
      <c r="E217" s="84"/>
    </row>
    <row r="218" spans="1:5" x14ac:dyDescent="0.2">
      <c r="A218" s="87">
        <v>5611</v>
      </c>
      <c r="B218" s="84" t="s">
        <v>345</v>
      </c>
      <c r="C218" s="85">
        <v>159133.39000000001</v>
      </c>
      <c r="D218" s="95">
        <f t="shared" si="1"/>
        <v>5.6416360733218293E-4</v>
      </c>
      <c r="E218" s="84"/>
    </row>
    <row r="220" spans="1:5" x14ac:dyDescent="0.2">
      <c r="B220" s="16" t="s">
        <v>475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4:C4"/>
    <mergeCell ref="A5:C5"/>
    <mergeCell ref="A2:C2"/>
    <mergeCell ref="A3:C3"/>
  </mergeCells>
  <pageMargins left="0.51181102362204722" right="0.39370078740157483" top="0.47" bottom="0.48" header="0.31496062992125984" footer="0.24"/>
  <pageSetup orientation="landscape" r:id="rId1"/>
  <headerFooter>
    <oddFooter>&amp;R&amp;8Página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workbookViewId="0">
      <selection sqref="A1:C5"/>
    </sheetView>
  </sheetViews>
  <sheetFormatPr baseColWidth="10" defaultColWidth="9.140625" defaultRowHeight="11.25" x14ac:dyDescent="0.2"/>
  <cols>
    <col min="1" max="1" width="10" style="21" customWidth="1"/>
    <col min="2" max="2" width="48.140625" style="21" customWidth="1"/>
    <col min="3" max="3" width="22.85546875" style="21" customWidth="1"/>
    <col min="4" max="5" width="16.7109375" style="21" customWidth="1"/>
    <col min="6" max="16384" width="9.140625" style="21"/>
  </cols>
  <sheetData>
    <row r="1" spans="1:5" ht="18.95" customHeight="1" x14ac:dyDescent="0.2">
      <c r="A1" s="143" t="s">
        <v>563</v>
      </c>
      <c r="B1" s="143"/>
      <c r="C1" s="143"/>
      <c r="D1" s="19"/>
      <c r="E1" s="20"/>
    </row>
    <row r="2" spans="1:5" ht="18.95" customHeight="1" x14ac:dyDescent="0.2">
      <c r="A2" s="144" t="s">
        <v>564</v>
      </c>
      <c r="B2" s="144"/>
      <c r="C2" s="144"/>
      <c r="D2" s="19"/>
      <c r="E2" s="20"/>
    </row>
    <row r="3" spans="1:5" ht="18.95" customHeight="1" x14ac:dyDescent="0.2">
      <c r="A3" s="144" t="s">
        <v>565</v>
      </c>
      <c r="B3" s="144"/>
      <c r="C3" s="144"/>
      <c r="D3" s="19" t="s">
        <v>464</v>
      </c>
      <c r="E3" s="20">
        <v>2023</v>
      </c>
    </row>
    <row r="4" spans="1:5" ht="18.95" customHeight="1" x14ac:dyDescent="0.2">
      <c r="A4" s="144" t="s">
        <v>569</v>
      </c>
      <c r="B4" s="144"/>
      <c r="C4" s="144"/>
      <c r="D4" s="19" t="s">
        <v>465</v>
      </c>
      <c r="E4" s="20" t="s">
        <v>467</v>
      </c>
    </row>
    <row r="5" spans="1:5" ht="18.95" customHeight="1" x14ac:dyDescent="0.2">
      <c r="A5" s="143" t="s">
        <v>512</v>
      </c>
      <c r="B5" s="143"/>
      <c r="C5" s="143"/>
      <c r="D5" s="19" t="s">
        <v>466</v>
      </c>
      <c r="E5" s="20">
        <v>4</v>
      </c>
    </row>
    <row r="6" spans="1:5" x14ac:dyDescent="0.2">
      <c r="A6" s="22" t="s">
        <v>75</v>
      </c>
      <c r="B6" s="23"/>
      <c r="C6" s="23"/>
      <c r="D6" s="23"/>
      <c r="E6" s="23"/>
    </row>
    <row r="8" spans="1:5" x14ac:dyDescent="0.2">
      <c r="A8" s="23" t="s">
        <v>67</v>
      </c>
      <c r="B8" s="23"/>
      <c r="C8" s="23"/>
      <c r="D8" s="23"/>
      <c r="E8" s="23"/>
    </row>
    <row r="9" spans="1:5" x14ac:dyDescent="0.2">
      <c r="A9" s="24" t="s">
        <v>45</v>
      </c>
      <c r="B9" s="24" t="s">
        <v>42</v>
      </c>
      <c r="C9" s="24" t="s">
        <v>43</v>
      </c>
      <c r="D9" s="24" t="s">
        <v>44</v>
      </c>
      <c r="E9" s="24" t="s">
        <v>46</v>
      </c>
    </row>
    <row r="10" spans="1:5" x14ac:dyDescent="0.2">
      <c r="A10" s="96">
        <v>3110</v>
      </c>
      <c r="B10" s="97" t="s">
        <v>215</v>
      </c>
      <c r="C10" s="98">
        <v>275149742.29000002</v>
      </c>
      <c r="D10" s="97"/>
      <c r="E10" s="97"/>
    </row>
    <row r="11" spans="1:5" x14ac:dyDescent="0.2">
      <c r="A11" s="96">
        <v>3120</v>
      </c>
      <c r="B11" s="97" t="s">
        <v>346</v>
      </c>
      <c r="C11" s="98">
        <v>2072228.54</v>
      </c>
      <c r="D11" s="97"/>
      <c r="E11" s="97"/>
    </row>
    <row r="12" spans="1:5" x14ac:dyDescent="0.2">
      <c r="A12" s="96">
        <v>3130</v>
      </c>
      <c r="B12" s="97" t="s">
        <v>347</v>
      </c>
      <c r="C12" s="98">
        <v>0</v>
      </c>
      <c r="D12" s="97"/>
      <c r="E12" s="97"/>
    </row>
    <row r="14" spans="1:5" x14ac:dyDescent="0.2">
      <c r="A14" s="23" t="s">
        <v>68</v>
      </c>
      <c r="B14" s="23"/>
      <c r="C14" s="23"/>
      <c r="D14" s="23"/>
      <c r="E14" s="23"/>
    </row>
    <row r="15" spans="1:5" x14ac:dyDescent="0.2">
      <c r="A15" s="24" t="s">
        <v>45</v>
      </c>
      <c r="B15" s="24" t="s">
        <v>42</v>
      </c>
      <c r="C15" s="24" t="s">
        <v>43</v>
      </c>
      <c r="D15" s="24" t="s">
        <v>348</v>
      </c>
      <c r="E15" s="24"/>
    </row>
    <row r="16" spans="1:5" x14ac:dyDescent="0.2">
      <c r="A16" s="96">
        <v>3210</v>
      </c>
      <c r="B16" s="97" t="s">
        <v>349</v>
      </c>
      <c r="C16" s="98">
        <f>89250382.19+240737.78+752205.37+4856268.52+1429831.9</f>
        <v>96529425.760000005</v>
      </c>
      <c r="D16" s="97"/>
      <c r="E16" s="97"/>
    </row>
    <row r="17" spans="1:5" x14ac:dyDescent="0.2">
      <c r="A17" s="96">
        <v>3220</v>
      </c>
      <c r="B17" s="97" t="s">
        <v>350</v>
      </c>
      <c r="C17" s="98">
        <f>353927785.62+(-516704.55)+897086.45+8669169.75</f>
        <v>362977337.26999998</v>
      </c>
      <c r="D17" s="97"/>
      <c r="E17" s="97"/>
    </row>
    <row r="18" spans="1:5" x14ac:dyDescent="0.2">
      <c r="A18" s="96">
        <v>3230</v>
      </c>
      <c r="B18" s="97" t="s">
        <v>351</v>
      </c>
      <c r="C18" s="98">
        <f>SUM(C19:C22)</f>
        <v>5474</v>
      </c>
      <c r="D18" s="97"/>
      <c r="E18" s="97"/>
    </row>
    <row r="19" spans="1:5" x14ac:dyDescent="0.2">
      <c r="A19" s="96">
        <v>3231</v>
      </c>
      <c r="B19" s="97" t="s">
        <v>352</v>
      </c>
      <c r="C19" s="98">
        <v>5474</v>
      </c>
      <c r="D19" s="97"/>
      <c r="E19" s="97"/>
    </row>
    <row r="20" spans="1:5" x14ac:dyDescent="0.2">
      <c r="A20" s="96">
        <v>3232</v>
      </c>
      <c r="B20" s="97" t="s">
        <v>353</v>
      </c>
      <c r="C20" s="98">
        <v>0</v>
      </c>
      <c r="D20" s="97"/>
      <c r="E20" s="97"/>
    </row>
    <row r="21" spans="1:5" x14ac:dyDescent="0.2">
      <c r="A21" s="96">
        <v>3233</v>
      </c>
      <c r="B21" s="97" t="s">
        <v>354</v>
      </c>
      <c r="C21" s="98">
        <v>0</v>
      </c>
      <c r="D21" s="97"/>
      <c r="E21" s="97"/>
    </row>
    <row r="22" spans="1:5" x14ac:dyDescent="0.2">
      <c r="A22" s="96">
        <v>3239</v>
      </c>
      <c r="B22" s="97" t="s">
        <v>355</v>
      </c>
      <c r="C22" s="98">
        <v>0</v>
      </c>
      <c r="D22" s="97"/>
      <c r="E22" s="97"/>
    </row>
    <row r="23" spans="1:5" x14ac:dyDescent="0.2">
      <c r="A23" s="96">
        <v>3240</v>
      </c>
      <c r="B23" s="97" t="s">
        <v>356</v>
      </c>
      <c r="C23" s="98">
        <f>SUM(C24:C26)</f>
        <v>0</v>
      </c>
      <c r="D23" s="97"/>
      <c r="E23" s="97"/>
    </row>
    <row r="24" spans="1:5" x14ac:dyDescent="0.2">
      <c r="A24" s="96">
        <v>3241</v>
      </c>
      <c r="B24" s="97" t="s">
        <v>357</v>
      </c>
      <c r="C24" s="98">
        <v>0</v>
      </c>
      <c r="D24" s="97"/>
      <c r="E24" s="97"/>
    </row>
    <row r="25" spans="1:5" x14ac:dyDescent="0.2">
      <c r="A25" s="96">
        <v>3242</v>
      </c>
      <c r="B25" s="97" t="s">
        <v>358</v>
      </c>
      <c r="C25" s="98">
        <v>0</v>
      </c>
      <c r="D25" s="97"/>
      <c r="E25" s="97"/>
    </row>
    <row r="26" spans="1:5" x14ac:dyDescent="0.2">
      <c r="A26" s="96">
        <v>3243</v>
      </c>
      <c r="B26" s="97" t="s">
        <v>359</v>
      </c>
      <c r="C26" s="98">
        <v>0</v>
      </c>
      <c r="D26" s="97"/>
      <c r="E26" s="97"/>
    </row>
    <row r="27" spans="1:5" x14ac:dyDescent="0.2">
      <c r="A27" s="96">
        <v>3250</v>
      </c>
      <c r="B27" s="97" t="s">
        <v>360</v>
      </c>
      <c r="C27" s="98">
        <f>SUM(C28:C29)</f>
        <v>0</v>
      </c>
      <c r="D27" s="97"/>
      <c r="E27" s="97"/>
    </row>
    <row r="28" spans="1:5" x14ac:dyDescent="0.2">
      <c r="A28" s="96">
        <v>3251</v>
      </c>
      <c r="B28" s="97" t="s">
        <v>361</v>
      </c>
      <c r="C28" s="98">
        <v>0</v>
      </c>
      <c r="D28" s="97"/>
      <c r="E28" s="97"/>
    </row>
    <row r="29" spans="1:5" x14ac:dyDescent="0.2">
      <c r="A29" s="96">
        <v>3252</v>
      </c>
      <c r="B29" s="97" t="s">
        <v>362</v>
      </c>
      <c r="C29" s="98">
        <v>0</v>
      </c>
      <c r="D29" s="97"/>
      <c r="E29" s="97"/>
    </row>
    <row r="31" spans="1:5" x14ac:dyDescent="0.2">
      <c r="B31" s="21" t="s">
        <v>475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4:C4"/>
    <mergeCell ref="A5:C5"/>
    <mergeCell ref="A2:C2"/>
    <mergeCell ref="A3:C3"/>
  </mergeCells>
  <pageMargins left="0.70866141732283472" right="0.70866141732283472" top="0.74803149606299213" bottom="0.74803149606299213" header="0.31496062992125984" footer="0.6"/>
  <pageSetup orientation="landscape" r:id="rId1"/>
  <headerFooter>
    <oddFooter>&amp;R&amp;8Página 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2"/>
  <sheetViews>
    <sheetView showGridLines="0" workbookViewId="0">
      <selection activeCell="A18" sqref="A18:XFD18"/>
    </sheetView>
  </sheetViews>
  <sheetFormatPr baseColWidth="10" defaultColWidth="9.140625" defaultRowHeight="11.25" x14ac:dyDescent="0.2"/>
  <cols>
    <col min="1" max="1" width="10" style="21" customWidth="1"/>
    <col min="2" max="2" width="63.42578125" style="21" bestFit="1" customWidth="1"/>
    <col min="3" max="3" width="15.28515625" style="21" bestFit="1" customWidth="1"/>
    <col min="4" max="4" width="16.42578125" style="21" bestFit="1" customWidth="1"/>
    <col min="5" max="5" width="19.140625" style="21" customWidth="1"/>
    <col min="6" max="16384" width="9.140625" style="21"/>
  </cols>
  <sheetData>
    <row r="1" spans="1:5" s="25" customFormat="1" ht="18.95" customHeight="1" x14ac:dyDescent="0.25">
      <c r="A1" s="143" t="s">
        <v>563</v>
      </c>
      <c r="B1" s="143"/>
      <c r="C1" s="143"/>
      <c r="D1" s="142"/>
      <c r="E1" s="142"/>
    </row>
    <row r="2" spans="1:5" s="25" customFormat="1" ht="18.95" customHeight="1" x14ac:dyDescent="0.25">
      <c r="A2" s="144" t="s">
        <v>564</v>
      </c>
      <c r="B2" s="144"/>
      <c r="C2" s="144"/>
      <c r="D2" s="19"/>
      <c r="E2" s="20"/>
    </row>
    <row r="3" spans="1:5" s="25" customFormat="1" ht="18.95" customHeight="1" x14ac:dyDescent="0.25">
      <c r="A3" s="144" t="s">
        <v>565</v>
      </c>
      <c r="B3" s="144"/>
      <c r="C3" s="144"/>
      <c r="D3" s="19" t="s">
        <v>464</v>
      </c>
      <c r="E3" s="20">
        <v>2023</v>
      </c>
    </row>
    <row r="4" spans="1:5" s="25" customFormat="1" ht="18.95" customHeight="1" x14ac:dyDescent="0.25">
      <c r="A4" s="144" t="s">
        <v>570</v>
      </c>
      <c r="B4" s="144"/>
      <c r="C4" s="144"/>
      <c r="D4" s="19" t="s">
        <v>465</v>
      </c>
      <c r="E4" s="20" t="s">
        <v>467</v>
      </c>
    </row>
    <row r="5" spans="1:5" s="25" customFormat="1" ht="18.95" customHeight="1" x14ac:dyDescent="0.25">
      <c r="A5" s="143" t="s">
        <v>512</v>
      </c>
      <c r="B5" s="143"/>
      <c r="C5" s="143"/>
      <c r="D5" s="19" t="s">
        <v>466</v>
      </c>
      <c r="E5" s="20">
        <v>4</v>
      </c>
    </row>
    <row r="6" spans="1:5" x14ac:dyDescent="0.2">
      <c r="A6" s="22" t="s">
        <v>75</v>
      </c>
      <c r="B6" s="23"/>
      <c r="C6" s="23"/>
      <c r="D6" s="23"/>
      <c r="E6" s="23"/>
    </row>
    <row r="8" spans="1:5" x14ac:dyDescent="0.2">
      <c r="A8" s="23" t="s">
        <v>69</v>
      </c>
      <c r="B8" s="23"/>
      <c r="C8" s="23"/>
      <c r="D8" s="23"/>
      <c r="E8" s="23"/>
    </row>
    <row r="9" spans="1:5" x14ac:dyDescent="0.2">
      <c r="A9" s="24" t="s">
        <v>45</v>
      </c>
      <c r="B9" s="24" t="s">
        <v>499</v>
      </c>
      <c r="C9" s="76">
        <v>2023</v>
      </c>
      <c r="D9" s="76">
        <v>2022</v>
      </c>
      <c r="E9" s="24"/>
    </row>
    <row r="10" spans="1:5" x14ac:dyDescent="0.2">
      <c r="A10" s="99">
        <v>1111</v>
      </c>
      <c r="B10" s="100" t="s">
        <v>363</v>
      </c>
      <c r="C10" s="101">
        <f>3525869.72+253764.37</f>
        <v>3779634.0900000003</v>
      </c>
      <c r="D10" s="101">
        <f>1786463.52+26905.26</f>
        <v>1813368.78</v>
      </c>
      <c r="E10" s="100"/>
    </row>
    <row r="11" spans="1:5" x14ac:dyDescent="0.2">
      <c r="A11" s="99">
        <v>1112</v>
      </c>
      <c r="B11" s="100" t="s">
        <v>364</v>
      </c>
      <c r="C11" s="101">
        <f>17104176.77+1401392.24+11085858.32+3103374.29+3021872.04</f>
        <v>35716673.659999996</v>
      </c>
      <c r="D11" s="101">
        <f>1730503.33+6836411.78+1046838.49</f>
        <v>9613753.5999999996</v>
      </c>
      <c r="E11" s="100"/>
    </row>
    <row r="12" spans="1:5" x14ac:dyDescent="0.2">
      <c r="A12" s="99">
        <v>1113</v>
      </c>
      <c r="B12" s="100" t="s">
        <v>365</v>
      </c>
      <c r="C12" s="101">
        <v>0</v>
      </c>
      <c r="D12" s="101">
        <f>1576012.57+1977841.47</f>
        <v>3553854.04</v>
      </c>
      <c r="E12" s="100"/>
    </row>
    <row r="13" spans="1:5" x14ac:dyDescent="0.2">
      <c r="A13" s="99">
        <v>1114</v>
      </c>
      <c r="B13" s="100" t="s">
        <v>76</v>
      </c>
      <c r="C13" s="101">
        <v>238977427.47999999</v>
      </c>
      <c r="D13" s="101">
        <v>221290240.41</v>
      </c>
      <c r="E13" s="100"/>
    </row>
    <row r="14" spans="1:5" x14ac:dyDescent="0.2">
      <c r="A14" s="99">
        <v>1115</v>
      </c>
      <c r="B14" s="100" t="s">
        <v>77</v>
      </c>
      <c r="C14" s="101">
        <v>0</v>
      </c>
      <c r="D14" s="101">
        <v>0</v>
      </c>
      <c r="E14" s="100"/>
    </row>
    <row r="15" spans="1:5" x14ac:dyDescent="0.2">
      <c r="A15" s="99">
        <v>1116</v>
      </c>
      <c r="B15" s="100" t="s">
        <v>366</v>
      </c>
      <c r="C15" s="101">
        <v>0</v>
      </c>
      <c r="D15" s="101">
        <v>0</v>
      </c>
      <c r="E15" s="100"/>
    </row>
    <row r="16" spans="1:5" x14ac:dyDescent="0.2">
      <c r="A16" s="99">
        <v>1119</v>
      </c>
      <c r="B16" s="100" t="s">
        <v>367</v>
      </c>
      <c r="C16" s="101">
        <v>0</v>
      </c>
      <c r="D16" s="101">
        <v>0</v>
      </c>
      <c r="E16" s="100"/>
    </row>
    <row r="17" spans="1:5" x14ac:dyDescent="0.2">
      <c r="A17" s="102">
        <v>1110</v>
      </c>
      <c r="B17" s="103" t="s">
        <v>477</v>
      </c>
      <c r="C17" s="104">
        <f>SUM(C10:C16)</f>
        <v>278473735.23000002</v>
      </c>
      <c r="D17" s="104">
        <f>SUM(D10:D16)</f>
        <v>236271216.82999998</v>
      </c>
      <c r="E17" s="100"/>
    </row>
    <row r="19" spans="1:5" x14ac:dyDescent="0.2">
      <c r="A19" s="23" t="s">
        <v>70</v>
      </c>
      <c r="B19" s="23"/>
      <c r="C19" s="23"/>
      <c r="D19" s="23"/>
    </row>
    <row r="20" spans="1:5" x14ac:dyDescent="0.2">
      <c r="A20" s="24" t="s">
        <v>45</v>
      </c>
      <c r="B20" s="24" t="s">
        <v>499</v>
      </c>
      <c r="C20" s="79" t="s">
        <v>498</v>
      </c>
      <c r="D20" s="79" t="s">
        <v>71</v>
      </c>
    </row>
    <row r="21" spans="1:5" x14ac:dyDescent="0.2">
      <c r="A21" s="102">
        <v>1230</v>
      </c>
      <c r="B21" s="103" t="s">
        <v>109</v>
      </c>
      <c r="C21" s="104">
        <f>SUM(C22:C28)</f>
        <v>32657968.039999999</v>
      </c>
      <c r="D21" s="104">
        <f>SUM(D22:D28)</f>
        <v>32657968.039999999</v>
      </c>
    </row>
    <row r="22" spans="1:5" x14ac:dyDescent="0.2">
      <c r="A22" s="99">
        <v>1231</v>
      </c>
      <c r="B22" s="100" t="s">
        <v>110</v>
      </c>
      <c r="C22" s="101">
        <v>0</v>
      </c>
      <c r="D22" s="101">
        <v>0</v>
      </c>
    </row>
    <row r="23" spans="1:5" x14ac:dyDescent="0.2">
      <c r="A23" s="99">
        <v>1232</v>
      </c>
      <c r="B23" s="100" t="s">
        <v>111</v>
      </c>
      <c r="C23" s="101">
        <v>0</v>
      </c>
      <c r="D23" s="101">
        <v>0</v>
      </c>
    </row>
    <row r="24" spans="1:5" x14ac:dyDescent="0.2">
      <c r="A24" s="99">
        <v>1233</v>
      </c>
      <c r="B24" s="100" t="s">
        <v>112</v>
      </c>
      <c r="C24" s="101">
        <v>0</v>
      </c>
      <c r="D24" s="101">
        <v>0</v>
      </c>
    </row>
    <row r="25" spans="1:5" x14ac:dyDescent="0.2">
      <c r="A25" s="99">
        <v>1234</v>
      </c>
      <c r="B25" s="100" t="s">
        <v>113</v>
      </c>
      <c r="C25" s="101">
        <v>0</v>
      </c>
      <c r="D25" s="101">
        <v>0</v>
      </c>
    </row>
    <row r="26" spans="1:5" x14ac:dyDescent="0.2">
      <c r="A26" s="99">
        <v>1235</v>
      </c>
      <c r="B26" s="100" t="s">
        <v>114</v>
      </c>
      <c r="C26" s="101">
        <v>21123168.149999999</v>
      </c>
      <c r="D26" s="101">
        <v>21123168.149999999</v>
      </c>
    </row>
    <row r="27" spans="1:5" x14ac:dyDescent="0.2">
      <c r="A27" s="99">
        <v>1236</v>
      </c>
      <c r="B27" s="100" t="s">
        <v>115</v>
      </c>
      <c r="C27" s="101">
        <v>11534799.890000001</v>
      </c>
      <c r="D27" s="101">
        <v>11534799.890000001</v>
      </c>
    </row>
    <row r="28" spans="1:5" x14ac:dyDescent="0.2">
      <c r="A28" s="99">
        <v>1239</v>
      </c>
      <c r="B28" s="100" t="s">
        <v>116</v>
      </c>
      <c r="C28" s="101">
        <v>0</v>
      </c>
      <c r="D28" s="101">
        <v>0</v>
      </c>
    </row>
    <row r="29" spans="1:5" x14ac:dyDescent="0.2">
      <c r="A29" s="102">
        <v>1240</v>
      </c>
      <c r="B29" s="103" t="s">
        <v>117</v>
      </c>
      <c r="C29" s="104">
        <f>SUM(C30:C37)</f>
        <v>35708204.030000001</v>
      </c>
      <c r="D29" s="104">
        <f>SUM(D30:D37)</f>
        <v>40904467.239999995</v>
      </c>
    </row>
    <row r="30" spans="1:5" x14ac:dyDescent="0.2">
      <c r="A30" s="99">
        <v>1241</v>
      </c>
      <c r="B30" s="100" t="s">
        <v>118</v>
      </c>
      <c r="C30" s="101">
        <f>2377549.1+29650.25+27943.5+830851.91+56339.28</f>
        <v>3322334.04</v>
      </c>
      <c r="D30" s="101">
        <f>2377549.1+27943.5+830851.91+56339.28</f>
        <v>3292683.79</v>
      </c>
    </row>
    <row r="31" spans="1:5" x14ac:dyDescent="0.2">
      <c r="A31" s="99">
        <v>1242</v>
      </c>
      <c r="B31" s="100" t="s">
        <v>119</v>
      </c>
      <c r="C31" s="101">
        <f>11858.19+90759.91+64625.91</f>
        <v>167244.01</v>
      </c>
      <c r="D31" s="101">
        <f>11858.19+90759.91+64625.91</f>
        <v>167244.01</v>
      </c>
    </row>
    <row r="32" spans="1:5" x14ac:dyDescent="0.2">
      <c r="A32" s="99">
        <v>1243</v>
      </c>
      <c r="B32" s="100" t="s">
        <v>120</v>
      </c>
      <c r="C32" s="101">
        <v>14600</v>
      </c>
      <c r="D32" s="101">
        <v>14600</v>
      </c>
    </row>
    <row r="33" spans="1:5" x14ac:dyDescent="0.2">
      <c r="A33" s="99">
        <v>1244</v>
      </c>
      <c r="B33" s="100" t="s">
        <v>121</v>
      </c>
      <c r="C33" s="101">
        <f>14090918.44+1763892</f>
        <v>15854810.439999999</v>
      </c>
      <c r="D33" s="101">
        <f>14090918.44+667392</f>
        <v>14758310.439999999</v>
      </c>
    </row>
    <row r="34" spans="1:5" x14ac:dyDescent="0.2">
      <c r="A34" s="99">
        <v>1245</v>
      </c>
      <c r="B34" s="100" t="s">
        <v>122</v>
      </c>
      <c r="C34" s="101">
        <v>0</v>
      </c>
      <c r="D34" s="101">
        <v>0</v>
      </c>
    </row>
    <row r="35" spans="1:5" x14ac:dyDescent="0.2">
      <c r="A35" s="99">
        <v>1246</v>
      </c>
      <c r="B35" s="100" t="s">
        <v>123</v>
      </c>
      <c r="C35" s="101">
        <f>16059036.89+114939.65+175239</f>
        <v>16349215.540000001</v>
      </c>
      <c r="D35" s="101">
        <f>16059036.89+175239</f>
        <v>16234275.890000001</v>
      </c>
    </row>
    <row r="36" spans="1:5" x14ac:dyDescent="0.2">
      <c r="A36" s="99">
        <v>1247</v>
      </c>
      <c r="B36" s="100" t="s">
        <v>124</v>
      </c>
      <c r="C36" s="101">
        <v>0</v>
      </c>
      <c r="D36" s="101">
        <v>0</v>
      </c>
    </row>
    <row r="37" spans="1:5" x14ac:dyDescent="0.2">
      <c r="A37" s="99">
        <v>1248</v>
      </c>
      <c r="B37" s="100" t="s">
        <v>125</v>
      </c>
      <c r="C37" s="101">
        <v>0</v>
      </c>
      <c r="D37" s="101">
        <v>6437353.1100000003</v>
      </c>
    </row>
    <row r="38" spans="1:5" x14ac:dyDescent="0.2">
      <c r="A38" s="102">
        <v>1250</v>
      </c>
      <c r="B38" s="103" t="s">
        <v>127</v>
      </c>
      <c r="C38" s="104">
        <f>SUM(C39:C43)</f>
        <v>201943.02000000002</v>
      </c>
      <c r="D38" s="104">
        <f>SUM(D39:D43)</f>
        <v>36567066.910000004</v>
      </c>
      <c r="E38" s="31"/>
    </row>
    <row r="39" spans="1:5" x14ac:dyDescent="0.2">
      <c r="A39" s="99">
        <v>1251</v>
      </c>
      <c r="B39" s="100" t="s">
        <v>128</v>
      </c>
      <c r="C39" s="101">
        <v>129449.83</v>
      </c>
      <c r="D39" s="101">
        <f>129449.83+1582726.74</f>
        <v>1712176.57</v>
      </c>
    </row>
    <row r="40" spans="1:5" x14ac:dyDescent="0.2">
      <c r="A40" s="99">
        <v>1252</v>
      </c>
      <c r="B40" s="100" t="s">
        <v>129</v>
      </c>
      <c r="C40" s="101">
        <v>0</v>
      </c>
      <c r="D40" s="101">
        <v>-5163</v>
      </c>
    </row>
    <row r="41" spans="1:5" x14ac:dyDescent="0.2">
      <c r="A41" s="99">
        <v>1253</v>
      </c>
      <c r="B41" s="100" t="s">
        <v>130</v>
      </c>
      <c r="C41" s="101">
        <v>0</v>
      </c>
      <c r="D41" s="101">
        <v>15551270.890000001</v>
      </c>
    </row>
    <row r="42" spans="1:5" x14ac:dyDescent="0.2">
      <c r="A42" s="99">
        <v>1254</v>
      </c>
      <c r="B42" s="100" t="s">
        <v>131</v>
      </c>
      <c r="C42" s="101">
        <f>34339.2+38153.99</f>
        <v>72493.19</v>
      </c>
      <c r="D42" s="101">
        <f>34339.2+38153.99+8795644.27</f>
        <v>8868137.459999999</v>
      </c>
    </row>
    <row r="43" spans="1:5" x14ac:dyDescent="0.2">
      <c r="A43" s="99">
        <v>1259</v>
      </c>
      <c r="B43" s="100" t="s">
        <v>132</v>
      </c>
      <c r="C43" s="101">
        <v>0</v>
      </c>
      <c r="D43" s="101">
        <v>10440644.99</v>
      </c>
    </row>
    <row r="44" spans="1:5" x14ac:dyDescent="0.2">
      <c r="A44" s="100"/>
      <c r="B44" s="105" t="s">
        <v>478</v>
      </c>
      <c r="C44" s="104">
        <f>C21+C29+C38</f>
        <v>68568115.089999989</v>
      </c>
      <c r="D44" s="104">
        <f>D21+D29+D38</f>
        <v>110129502.19</v>
      </c>
    </row>
    <row r="45" spans="1:5" x14ac:dyDescent="0.2">
      <c r="A45" s="23" t="s">
        <v>73</v>
      </c>
      <c r="B45" s="23"/>
      <c r="C45" s="23"/>
      <c r="D45" s="23"/>
      <c r="E45" s="23"/>
    </row>
    <row r="46" spans="1:5" x14ac:dyDescent="0.2">
      <c r="A46" s="24" t="s">
        <v>45</v>
      </c>
      <c r="B46" s="24" t="s">
        <v>499</v>
      </c>
      <c r="C46" s="76">
        <v>2023</v>
      </c>
      <c r="D46" s="76">
        <v>2022</v>
      </c>
      <c r="E46" s="24"/>
    </row>
    <row r="47" spans="1:5" x14ac:dyDescent="0.2">
      <c r="A47" s="102">
        <v>3210</v>
      </c>
      <c r="B47" s="103" t="s">
        <v>479</v>
      </c>
      <c r="C47" s="104">
        <f>89250382.19+752205.37+4856268.52+(-147948.32)</f>
        <v>94710907.760000005</v>
      </c>
      <c r="D47" s="104">
        <f>1429831.9+11674141.93</f>
        <v>13103973.83</v>
      </c>
      <c r="E47" s="100"/>
    </row>
    <row r="48" spans="1:5" x14ac:dyDescent="0.2">
      <c r="A48" s="99"/>
      <c r="B48" s="105" t="s">
        <v>468</v>
      </c>
      <c r="C48" s="104">
        <f>C51+C63+C91+C94+C49</f>
        <v>34992409.060000002</v>
      </c>
      <c r="D48" s="104">
        <f>D51+D63+D91+D94+D49</f>
        <v>38910395.210000001</v>
      </c>
      <c r="E48" s="100"/>
    </row>
    <row r="49" spans="1:5" x14ac:dyDescent="0.2">
      <c r="A49" s="106">
        <v>5100</v>
      </c>
      <c r="B49" s="107" t="s">
        <v>240</v>
      </c>
      <c r="C49" s="108">
        <f>SUM(C50:C50)</f>
        <v>0</v>
      </c>
      <c r="D49" s="108">
        <f>SUM(D50:D50)</f>
        <v>0</v>
      </c>
      <c r="E49" s="100"/>
    </row>
    <row r="50" spans="1:5" x14ac:dyDescent="0.2">
      <c r="A50" s="109">
        <v>5130</v>
      </c>
      <c r="B50" s="110" t="s">
        <v>500</v>
      </c>
      <c r="C50" s="111">
        <v>0</v>
      </c>
      <c r="D50" s="111">
        <v>0</v>
      </c>
      <c r="E50" s="100"/>
    </row>
    <row r="51" spans="1:5" x14ac:dyDescent="0.2">
      <c r="A51" s="102">
        <v>5400</v>
      </c>
      <c r="B51" s="103" t="s">
        <v>305</v>
      </c>
      <c r="C51" s="104">
        <f>C52+C54+C56+C58+C60</f>
        <v>0</v>
      </c>
      <c r="D51" s="104">
        <f>D52+D54+D56+D58+D60</f>
        <v>0</v>
      </c>
      <c r="E51" s="100"/>
    </row>
    <row r="52" spans="1:5" x14ac:dyDescent="0.2">
      <c r="A52" s="99">
        <v>5410</v>
      </c>
      <c r="B52" s="100" t="s">
        <v>469</v>
      </c>
      <c r="C52" s="101">
        <f>C53</f>
        <v>0</v>
      </c>
      <c r="D52" s="101">
        <f>D53</f>
        <v>0</v>
      </c>
      <c r="E52" s="100"/>
    </row>
    <row r="53" spans="1:5" x14ac:dyDescent="0.2">
      <c r="A53" s="99">
        <v>5411</v>
      </c>
      <c r="B53" s="100" t="s">
        <v>307</v>
      </c>
      <c r="C53" s="101">
        <v>0</v>
      </c>
      <c r="D53" s="101">
        <v>0</v>
      </c>
      <c r="E53" s="100"/>
    </row>
    <row r="54" spans="1:5" x14ac:dyDescent="0.2">
      <c r="A54" s="99">
        <v>5420</v>
      </c>
      <c r="B54" s="100" t="s">
        <v>470</v>
      </c>
      <c r="C54" s="101">
        <f>C55</f>
        <v>0</v>
      </c>
      <c r="D54" s="101">
        <f>D55</f>
        <v>0</v>
      </c>
      <c r="E54" s="100"/>
    </row>
    <row r="55" spans="1:5" x14ac:dyDescent="0.2">
      <c r="A55" s="99">
        <v>5421</v>
      </c>
      <c r="B55" s="100" t="s">
        <v>310</v>
      </c>
      <c r="C55" s="101">
        <v>0</v>
      </c>
      <c r="D55" s="101">
        <v>0</v>
      </c>
      <c r="E55" s="100"/>
    </row>
    <row r="56" spans="1:5" x14ac:dyDescent="0.2">
      <c r="A56" s="99">
        <v>5430</v>
      </c>
      <c r="B56" s="100" t="s">
        <v>471</v>
      </c>
      <c r="C56" s="101">
        <f>C57</f>
        <v>0</v>
      </c>
      <c r="D56" s="101">
        <f>D57</f>
        <v>0</v>
      </c>
      <c r="E56" s="100"/>
    </row>
    <row r="57" spans="1:5" x14ac:dyDescent="0.2">
      <c r="A57" s="99">
        <v>5431</v>
      </c>
      <c r="B57" s="100" t="s">
        <v>313</v>
      </c>
      <c r="C57" s="101">
        <v>0</v>
      </c>
      <c r="D57" s="101">
        <v>0</v>
      </c>
      <c r="E57" s="100"/>
    </row>
    <row r="58" spans="1:5" x14ac:dyDescent="0.2">
      <c r="A58" s="99">
        <v>5440</v>
      </c>
      <c r="B58" s="100" t="s">
        <v>472</v>
      </c>
      <c r="C58" s="101">
        <f>C59</f>
        <v>0</v>
      </c>
      <c r="D58" s="101">
        <f>D59</f>
        <v>0</v>
      </c>
      <c r="E58" s="100"/>
    </row>
    <row r="59" spans="1:5" x14ac:dyDescent="0.2">
      <c r="A59" s="99">
        <v>5441</v>
      </c>
      <c r="B59" s="100" t="s">
        <v>472</v>
      </c>
      <c r="C59" s="101">
        <v>0</v>
      </c>
      <c r="D59" s="101">
        <v>0</v>
      </c>
      <c r="E59" s="100"/>
    </row>
    <row r="60" spans="1:5" x14ac:dyDescent="0.2">
      <c r="A60" s="99">
        <v>5450</v>
      </c>
      <c r="B60" s="100" t="s">
        <v>473</v>
      </c>
      <c r="C60" s="101">
        <f>SUM(C61:C62)</f>
        <v>0</v>
      </c>
      <c r="D60" s="101">
        <f>SUM(D61:D62)</f>
        <v>0</v>
      </c>
      <c r="E60" s="100"/>
    </row>
    <row r="61" spans="1:5" x14ac:dyDescent="0.2">
      <c r="A61" s="99">
        <v>5451</v>
      </c>
      <c r="B61" s="100" t="s">
        <v>317</v>
      </c>
      <c r="C61" s="101">
        <v>0</v>
      </c>
      <c r="D61" s="101">
        <v>0</v>
      </c>
      <c r="E61" s="100"/>
    </row>
    <row r="62" spans="1:5" x14ac:dyDescent="0.2">
      <c r="A62" s="99">
        <v>5452</v>
      </c>
      <c r="B62" s="100" t="s">
        <v>318</v>
      </c>
      <c r="C62" s="101">
        <v>0</v>
      </c>
      <c r="D62" s="101">
        <v>0</v>
      </c>
      <c r="E62" s="100"/>
    </row>
    <row r="63" spans="1:5" x14ac:dyDescent="0.2">
      <c r="A63" s="102">
        <v>5500</v>
      </c>
      <c r="B63" s="103" t="s">
        <v>319</v>
      </c>
      <c r="C63" s="104">
        <f>C64+C73+C76+C82+307067.5</f>
        <v>28238343.170000002</v>
      </c>
      <c r="D63" s="104">
        <f>D64+D73+D76+D82+26868.09</f>
        <v>38209413.990000002</v>
      </c>
      <c r="E63" s="100"/>
    </row>
    <row r="64" spans="1:5" x14ac:dyDescent="0.2">
      <c r="A64" s="99">
        <v>5510</v>
      </c>
      <c r="B64" s="100" t="s">
        <v>320</v>
      </c>
      <c r="C64" s="101">
        <f>SUM(C65:C72)</f>
        <v>27931262.650000002</v>
      </c>
      <c r="D64" s="101">
        <f>SUM(D65:D72)</f>
        <v>38180581.189999998</v>
      </c>
      <c r="E64" s="100"/>
    </row>
    <row r="65" spans="1:5" x14ac:dyDescent="0.2">
      <c r="A65" s="99">
        <v>5511</v>
      </c>
      <c r="B65" s="100" t="s">
        <v>321</v>
      </c>
      <c r="C65" s="101">
        <v>0</v>
      </c>
      <c r="D65" s="101">
        <v>0</v>
      </c>
      <c r="E65" s="100"/>
    </row>
    <row r="66" spans="1:5" x14ac:dyDescent="0.2">
      <c r="A66" s="99">
        <v>5512</v>
      </c>
      <c r="B66" s="100" t="s">
        <v>322</v>
      </c>
      <c r="C66" s="101">
        <v>0</v>
      </c>
      <c r="D66" s="101">
        <v>0</v>
      </c>
      <c r="E66" s="100"/>
    </row>
    <row r="67" spans="1:5" x14ac:dyDescent="0.2">
      <c r="A67" s="99">
        <v>5513</v>
      </c>
      <c r="B67" s="100" t="s">
        <v>323</v>
      </c>
      <c r="C67" s="101">
        <v>19830695.32</v>
      </c>
      <c r="D67" s="101">
        <v>911758.02</v>
      </c>
      <c r="E67" s="100"/>
    </row>
    <row r="68" spans="1:5" x14ac:dyDescent="0.2">
      <c r="A68" s="99">
        <v>5514</v>
      </c>
      <c r="B68" s="100" t="s">
        <v>324</v>
      </c>
      <c r="C68" s="101">
        <v>0</v>
      </c>
      <c r="D68" s="101">
        <v>29325656.52</v>
      </c>
      <c r="E68" s="100"/>
    </row>
    <row r="69" spans="1:5" x14ac:dyDescent="0.2">
      <c r="A69" s="99">
        <v>5515</v>
      </c>
      <c r="B69" s="100" t="s">
        <v>325</v>
      </c>
      <c r="C69" s="101">
        <f>6926817.59+96970.35+802793.18+50475.59</f>
        <v>7877056.709999999</v>
      </c>
      <c r="D69" s="101">
        <f>6776324.14+102067.99+788710.89+66299.47</f>
        <v>7733402.4899999993</v>
      </c>
      <c r="E69" s="100"/>
    </row>
    <row r="70" spans="1:5" x14ac:dyDescent="0.2">
      <c r="A70" s="99">
        <v>5516</v>
      </c>
      <c r="B70" s="100" t="s">
        <v>326</v>
      </c>
      <c r="C70" s="101">
        <v>0</v>
      </c>
      <c r="D70" s="101">
        <v>0</v>
      </c>
      <c r="E70" s="100"/>
    </row>
    <row r="71" spans="1:5" x14ac:dyDescent="0.2">
      <c r="A71" s="99">
        <v>5517</v>
      </c>
      <c r="B71" s="100" t="s">
        <v>327</v>
      </c>
      <c r="C71" s="101">
        <f>205490.14+13720.48+4300</f>
        <v>223510.62000000002</v>
      </c>
      <c r="D71" s="101">
        <f>177749.1+2521.2+15401.28+4300</f>
        <v>199971.58000000002</v>
      </c>
      <c r="E71" s="100"/>
    </row>
    <row r="72" spans="1:5" x14ac:dyDescent="0.2">
      <c r="A72" s="99">
        <v>5518</v>
      </c>
      <c r="B72" s="100" t="s">
        <v>38</v>
      </c>
      <c r="C72" s="101">
        <v>0</v>
      </c>
      <c r="D72" s="101">
        <v>9792.58</v>
      </c>
      <c r="E72" s="100"/>
    </row>
    <row r="73" spans="1:5" x14ac:dyDescent="0.2">
      <c r="A73" s="99">
        <v>5520</v>
      </c>
      <c r="B73" s="100" t="s">
        <v>37</v>
      </c>
      <c r="C73" s="101">
        <f>SUM(C74:C75)</f>
        <v>0</v>
      </c>
      <c r="D73" s="101">
        <f>SUM(D74:D75)</f>
        <v>0</v>
      </c>
      <c r="E73" s="100"/>
    </row>
    <row r="74" spans="1:5" x14ac:dyDescent="0.2">
      <c r="A74" s="99">
        <v>5521</v>
      </c>
      <c r="B74" s="100" t="s">
        <v>328</v>
      </c>
      <c r="C74" s="101">
        <v>0</v>
      </c>
      <c r="D74" s="101">
        <v>0</v>
      </c>
      <c r="E74" s="100"/>
    </row>
    <row r="75" spans="1:5" x14ac:dyDescent="0.2">
      <c r="A75" s="99">
        <v>5522</v>
      </c>
      <c r="B75" s="100" t="s">
        <v>329</v>
      </c>
      <c r="C75" s="101">
        <v>0</v>
      </c>
      <c r="D75" s="101">
        <v>0</v>
      </c>
      <c r="E75" s="100"/>
    </row>
    <row r="76" spans="1:5" x14ac:dyDescent="0.2">
      <c r="A76" s="99">
        <v>5530</v>
      </c>
      <c r="B76" s="100" t="s">
        <v>330</v>
      </c>
      <c r="C76" s="101">
        <f>SUM(C77:C81)</f>
        <v>0</v>
      </c>
      <c r="D76" s="101">
        <f>SUM(D77:D81)</f>
        <v>0</v>
      </c>
      <c r="E76" s="100"/>
    </row>
    <row r="77" spans="1:5" x14ac:dyDescent="0.2">
      <c r="A77" s="99">
        <v>5531</v>
      </c>
      <c r="B77" s="100" t="s">
        <v>331</v>
      </c>
      <c r="C77" s="101">
        <v>0</v>
      </c>
      <c r="D77" s="101">
        <v>0</v>
      </c>
      <c r="E77" s="100"/>
    </row>
    <row r="78" spans="1:5" x14ac:dyDescent="0.2">
      <c r="A78" s="99">
        <v>5532</v>
      </c>
      <c r="B78" s="100" t="s">
        <v>332</v>
      </c>
      <c r="C78" s="101">
        <v>0</v>
      </c>
      <c r="D78" s="101">
        <v>0</v>
      </c>
      <c r="E78" s="100"/>
    </row>
    <row r="79" spans="1:5" x14ac:dyDescent="0.2">
      <c r="A79" s="99">
        <v>5533</v>
      </c>
      <c r="B79" s="100" t="s">
        <v>333</v>
      </c>
      <c r="C79" s="101">
        <v>0</v>
      </c>
      <c r="D79" s="101">
        <v>0</v>
      </c>
      <c r="E79" s="100"/>
    </row>
    <row r="80" spans="1:5" x14ac:dyDescent="0.2">
      <c r="A80" s="99">
        <v>5534</v>
      </c>
      <c r="B80" s="100" t="s">
        <v>334</v>
      </c>
      <c r="C80" s="101">
        <v>0</v>
      </c>
      <c r="D80" s="101">
        <v>0</v>
      </c>
      <c r="E80" s="100"/>
    </row>
    <row r="81" spans="1:5" x14ac:dyDescent="0.2">
      <c r="A81" s="99">
        <v>5535</v>
      </c>
      <c r="B81" s="100" t="s">
        <v>335</v>
      </c>
      <c r="C81" s="101">
        <v>0</v>
      </c>
      <c r="D81" s="101">
        <v>0</v>
      </c>
      <c r="E81" s="100"/>
    </row>
    <row r="82" spans="1:5" x14ac:dyDescent="0.2">
      <c r="A82" s="99">
        <v>5590</v>
      </c>
      <c r="B82" s="100" t="s">
        <v>336</v>
      </c>
      <c r="C82" s="101">
        <f>SUM(C83:C90)</f>
        <v>13.02</v>
      </c>
      <c r="D82" s="101">
        <f>SUM(D83:D90)</f>
        <v>1964.71</v>
      </c>
      <c r="E82" s="100"/>
    </row>
    <row r="83" spans="1:5" x14ac:dyDescent="0.2">
      <c r="A83" s="99">
        <v>5591</v>
      </c>
      <c r="B83" s="100" t="s">
        <v>337</v>
      </c>
      <c r="C83" s="101">
        <v>0</v>
      </c>
      <c r="D83" s="101">
        <v>0</v>
      </c>
      <c r="E83" s="100"/>
    </row>
    <row r="84" spans="1:5" x14ac:dyDescent="0.2">
      <c r="A84" s="99">
        <v>5592</v>
      </c>
      <c r="B84" s="100" t="s">
        <v>338</v>
      </c>
      <c r="C84" s="101">
        <v>0</v>
      </c>
      <c r="D84" s="101">
        <v>0</v>
      </c>
      <c r="E84" s="100"/>
    </row>
    <row r="85" spans="1:5" x14ac:dyDescent="0.2">
      <c r="A85" s="99">
        <v>5593</v>
      </c>
      <c r="B85" s="100" t="s">
        <v>339</v>
      </c>
      <c r="C85" s="101">
        <v>0</v>
      </c>
      <c r="D85" s="101">
        <v>0</v>
      </c>
      <c r="E85" s="100"/>
    </row>
    <row r="86" spans="1:5" x14ac:dyDescent="0.2">
      <c r="A86" s="99">
        <v>5594</v>
      </c>
      <c r="B86" s="100" t="s">
        <v>340</v>
      </c>
      <c r="C86" s="101">
        <v>0</v>
      </c>
      <c r="D86" s="101">
        <v>0</v>
      </c>
      <c r="E86" s="100"/>
    </row>
    <row r="87" spans="1:5" x14ac:dyDescent="0.2">
      <c r="A87" s="99">
        <v>5595</v>
      </c>
      <c r="B87" s="100" t="s">
        <v>341</v>
      </c>
      <c r="C87" s="101">
        <v>0</v>
      </c>
      <c r="D87" s="101">
        <v>0</v>
      </c>
      <c r="E87" s="100"/>
    </row>
    <row r="88" spans="1:5" x14ac:dyDescent="0.2">
      <c r="A88" s="99">
        <v>5596</v>
      </c>
      <c r="B88" s="100" t="s">
        <v>236</v>
      </c>
      <c r="C88" s="101">
        <v>0</v>
      </c>
      <c r="D88" s="101">
        <v>0</v>
      </c>
      <c r="E88" s="100"/>
    </row>
    <row r="89" spans="1:5" x14ac:dyDescent="0.2">
      <c r="A89" s="99">
        <v>5597</v>
      </c>
      <c r="B89" s="100" t="s">
        <v>342</v>
      </c>
      <c r="C89" s="101">
        <v>0</v>
      </c>
      <c r="D89" s="101">
        <v>0</v>
      </c>
      <c r="E89" s="100"/>
    </row>
    <row r="90" spans="1:5" x14ac:dyDescent="0.2">
      <c r="A90" s="99">
        <v>5599</v>
      </c>
      <c r="B90" s="100" t="s">
        <v>343</v>
      </c>
      <c r="C90" s="101">
        <v>13.02</v>
      </c>
      <c r="D90" s="101">
        <v>1964.71</v>
      </c>
      <c r="E90" s="100"/>
    </row>
    <row r="91" spans="1:5" x14ac:dyDescent="0.2">
      <c r="A91" s="102">
        <v>5600</v>
      </c>
      <c r="B91" s="103" t="s">
        <v>36</v>
      </c>
      <c r="C91" s="104">
        <f>C92</f>
        <v>159133.39000000001</v>
      </c>
      <c r="D91" s="104">
        <f>D92</f>
        <v>700981.22</v>
      </c>
      <c r="E91" s="100"/>
    </row>
    <row r="92" spans="1:5" x14ac:dyDescent="0.2">
      <c r="A92" s="99">
        <v>5610</v>
      </c>
      <c r="B92" s="100" t="s">
        <v>344</v>
      </c>
      <c r="C92" s="101">
        <f>C93</f>
        <v>159133.39000000001</v>
      </c>
      <c r="D92" s="101">
        <f>D93</f>
        <v>700981.22</v>
      </c>
      <c r="E92" s="100"/>
    </row>
    <row r="93" spans="1:5" x14ac:dyDescent="0.2">
      <c r="A93" s="99">
        <v>5611</v>
      </c>
      <c r="B93" s="100" t="s">
        <v>345</v>
      </c>
      <c r="C93" s="101">
        <v>159133.39000000001</v>
      </c>
      <c r="D93" s="101">
        <v>700981.22</v>
      </c>
      <c r="E93" s="100"/>
    </row>
    <row r="94" spans="1:5" x14ac:dyDescent="0.2">
      <c r="A94" s="102">
        <v>2110</v>
      </c>
      <c r="B94" s="112" t="s">
        <v>480</v>
      </c>
      <c r="C94" s="104">
        <f>SUM(C95:C99)</f>
        <v>6594932.5</v>
      </c>
      <c r="D94" s="104">
        <f>SUM(D95:D99)</f>
        <v>0</v>
      </c>
      <c r="E94" s="100"/>
    </row>
    <row r="95" spans="1:5" x14ac:dyDescent="0.2">
      <c r="A95" s="99">
        <v>2111</v>
      </c>
      <c r="B95" s="100" t="s">
        <v>481</v>
      </c>
      <c r="C95" s="101">
        <f>3074754.8+930320.98</f>
        <v>4005075.78</v>
      </c>
      <c r="D95" s="101">
        <v>0</v>
      </c>
      <c r="E95" s="100"/>
    </row>
    <row r="96" spans="1:5" x14ac:dyDescent="0.2">
      <c r="A96" s="99">
        <v>2112</v>
      </c>
      <c r="B96" s="100" t="s">
        <v>482</v>
      </c>
      <c r="C96" s="101">
        <v>0</v>
      </c>
      <c r="D96" s="101">
        <v>0</v>
      </c>
      <c r="E96" s="100"/>
    </row>
    <row r="97" spans="1:5" x14ac:dyDescent="0.2">
      <c r="A97" s="99">
        <v>2112</v>
      </c>
      <c r="B97" s="100" t="s">
        <v>483</v>
      </c>
      <c r="C97" s="101">
        <f>2359684+10471.68+198798+18903</f>
        <v>2587856.6800000002</v>
      </c>
      <c r="D97" s="101">
        <v>0</v>
      </c>
      <c r="E97" s="100"/>
    </row>
    <row r="98" spans="1:5" x14ac:dyDescent="0.2">
      <c r="A98" s="99">
        <v>2115</v>
      </c>
      <c r="B98" s="100" t="s">
        <v>484</v>
      </c>
      <c r="C98" s="101">
        <v>2000.04</v>
      </c>
      <c r="D98" s="101">
        <v>0</v>
      </c>
      <c r="E98" s="100"/>
    </row>
    <row r="99" spans="1:5" x14ac:dyDescent="0.2">
      <c r="A99" s="99">
        <v>2114</v>
      </c>
      <c r="B99" s="100" t="s">
        <v>485</v>
      </c>
      <c r="C99" s="101">
        <v>0</v>
      </c>
      <c r="D99" s="101">
        <v>0</v>
      </c>
      <c r="E99" s="100"/>
    </row>
    <row r="100" spans="1:5" x14ac:dyDescent="0.2">
      <c r="A100" s="99"/>
      <c r="B100" s="105" t="s">
        <v>486</v>
      </c>
      <c r="C100" s="104">
        <f>+C101</f>
        <v>0</v>
      </c>
      <c r="D100" s="104">
        <f>+D101</f>
        <v>0</v>
      </c>
      <c r="E100" s="100"/>
    </row>
    <row r="101" spans="1:5" x14ac:dyDescent="0.2">
      <c r="A101" s="106">
        <v>3100</v>
      </c>
      <c r="B101" s="113" t="s">
        <v>501</v>
      </c>
      <c r="C101" s="114">
        <f>SUM(C102:C105)</f>
        <v>0</v>
      </c>
      <c r="D101" s="114">
        <f>SUM(D102:D105)</f>
        <v>0</v>
      </c>
      <c r="E101" s="100"/>
    </row>
    <row r="102" spans="1:5" x14ac:dyDescent="0.2">
      <c r="A102" s="109"/>
      <c r="B102" s="115" t="s">
        <v>502</v>
      </c>
      <c r="C102" s="116">
        <v>0</v>
      </c>
      <c r="D102" s="116">
        <v>0</v>
      </c>
      <c r="E102" s="100"/>
    </row>
    <row r="103" spans="1:5" x14ac:dyDescent="0.2">
      <c r="A103" s="109"/>
      <c r="B103" s="115" t="s">
        <v>503</v>
      </c>
      <c r="C103" s="116">
        <v>0</v>
      </c>
      <c r="D103" s="116">
        <v>0</v>
      </c>
      <c r="E103" s="100"/>
    </row>
    <row r="104" spans="1:5" x14ac:dyDescent="0.2">
      <c r="A104" s="109"/>
      <c r="B104" s="115" t="s">
        <v>504</v>
      </c>
      <c r="C104" s="116">
        <v>0</v>
      </c>
      <c r="D104" s="116">
        <v>0</v>
      </c>
      <c r="E104" s="100"/>
    </row>
    <row r="105" spans="1:5" x14ac:dyDescent="0.2">
      <c r="A105" s="109"/>
      <c r="B105" s="115" t="s">
        <v>505</v>
      </c>
      <c r="C105" s="116">
        <v>0</v>
      </c>
      <c r="D105" s="116">
        <v>0</v>
      </c>
      <c r="E105" s="100"/>
    </row>
    <row r="106" spans="1:5" x14ac:dyDescent="0.2">
      <c r="A106" s="109"/>
      <c r="B106" s="117" t="s">
        <v>506</v>
      </c>
      <c r="C106" s="108">
        <f>+C107</f>
        <v>0</v>
      </c>
      <c r="D106" s="108">
        <f>+D107</f>
        <v>0</v>
      </c>
      <c r="E106" s="100"/>
    </row>
    <row r="107" spans="1:5" x14ac:dyDescent="0.2">
      <c r="A107" s="106">
        <v>1270</v>
      </c>
      <c r="B107" s="107" t="s">
        <v>133</v>
      </c>
      <c r="C107" s="114">
        <f>+C108</f>
        <v>0</v>
      </c>
      <c r="D107" s="114">
        <f>+D108</f>
        <v>0</v>
      </c>
      <c r="E107" s="100"/>
    </row>
    <row r="108" spans="1:5" x14ac:dyDescent="0.2">
      <c r="A108" s="109">
        <v>1273</v>
      </c>
      <c r="B108" s="110" t="s">
        <v>507</v>
      </c>
      <c r="C108" s="116">
        <v>0</v>
      </c>
      <c r="D108" s="116">
        <v>0</v>
      </c>
      <c r="E108" s="100"/>
    </row>
    <row r="109" spans="1:5" x14ac:dyDescent="0.2">
      <c r="A109" s="109"/>
      <c r="B109" s="117" t="s">
        <v>508</v>
      </c>
      <c r="C109" s="108">
        <f>+C110+C112</f>
        <v>4625233.3600000003</v>
      </c>
      <c r="D109" s="108">
        <f>+D110+D112</f>
        <v>0</v>
      </c>
      <c r="E109" s="100"/>
    </row>
    <row r="110" spans="1:5" x14ac:dyDescent="0.2">
      <c r="A110" s="106">
        <v>4300</v>
      </c>
      <c r="B110" s="113" t="s">
        <v>509</v>
      </c>
      <c r="C110" s="114">
        <f>+C111</f>
        <v>2853982.16</v>
      </c>
      <c r="D110" s="118">
        <f>+D111</f>
        <v>0</v>
      </c>
      <c r="E110" s="100"/>
    </row>
    <row r="111" spans="1:5" x14ac:dyDescent="0.2">
      <c r="A111" s="109">
        <v>4399</v>
      </c>
      <c r="B111" s="115" t="s">
        <v>233</v>
      </c>
      <c r="C111" s="116">
        <f>637579.99+2216402.17</f>
        <v>2853982.16</v>
      </c>
      <c r="D111" s="116">
        <v>0</v>
      </c>
      <c r="E111" s="100"/>
    </row>
    <row r="112" spans="1:5" x14ac:dyDescent="0.2">
      <c r="A112" s="102">
        <v>1120</v>
      </c>
      <c r="B112" s="112" t="s">
        <v>487</v>
      </c>
      <c r="C112" s="104">
        <f>SUM(C113:C121)</f>
        <v>1771251.2</v>
      </c>
      <c r="D112" s="104">
        <f>SUM(D113:D121)</f>
        <v>0</v>
      </c>
      <c r="E112" s="100"/>
    </row>
    <row r="113" spans="1:5" x14ac:dyDescent="0.2">
      <c r="A113" s="99">
        <v>1124</v>
      </c>
      <c r="B113" s="119" t="s">
        <v>488</v>
      </c>
      <c r="C113" s="120">
        <v>0</v>
      </c>
      <c r="D113" s="101">
        <v>0</v>
      </c>
      <c r="E113" s="100"/>
    </row>
    <row r="114" spans="1:5" x14ac:dyDescent="0.2">
      <c r="A114" s="99">
        <v>1124</v>
      </c>
      <c r="B114" s="119" t="s">
        <v>489</v>
      </c>
      <c r="C114" s="120">
        <v>0</v>
      </c>
      <c r="D114" s="101">
        <v>0</v>
      </c>
      <c r="E114" s="100"/>
    </row>
    <row r="115" spans="1:5" x14ac:dyDescent="0.2">
      <c r="A115" s="99">
        <v>1124</v>
      </c>
      <c r="B115" s="119" t="s">
        <v>490</v>
      </c>
      <c r="C115" s="120">
        <v>0</v>
      </c>
      <c r="D115" s="101">
        <v>0</v>
      </c>
      <c r="E115" s="100"/>
    </row>
    <row r="116" spans="1:5" x14ac:dyDescent="0.2">
      <c r="A116" s="99">
        <v>1124</v>
      </c>
      <c r="B116" s="119" t="s">
        <v>491</v>
      </c>
      <c r="C116" s="120">
        <v>0</v>
      </c>
      <c r="D116" s="101">
        <v>0</v>
      </c>
      <c r="E116" s="100"/>
    </row>
    <row r="117" spans="1:5" x14ac:dyDescent="0.2">
      <c r="A117" s="99">
        <v>1124</v>
      </c>
      <c r="B117" s="119" t="s">
        <v>492</v>
      </c>
      <c r="C117" s="101">
        <v>0</v>
      </c>
      <c r="D117" s="101">
        <v>0</v>
      </c>
      <c r="E117" s="100"/>
    </row>
    <row r="118" spans="1:5" x14ac:dyDescent="0.2">
      <c r="A118" s="99">
        <v>1124</v>
      </c>
      <c r="B118" s="119" t="s">
        <v>493</v>
      </c>
      <c r="C118" s="101">
        <v>0</v>
      </c>
      <c r="D118" s="101">
        <v>0</v>
      </c>
      <c r="E118" s="100"/>
    </row>
    <row r="119" spans="1:5" x14ac:dyDescent="0.2">
      <c r="A119" s="99">
        <v>1122</v>
      </c>
      <c r="B119" s="119" t="s">
        <v>494</v>
      </c>
      <c r="C119" s="101">
        <v>1771251.2</v>
      </c>
      <c r="D119" s="101">
        <v>0</v>
      </c>
      <c r="E119" s="100"/>
    </row>
    <row r="120" spans="1:5" x14ac:dyDescent="0.2">
      <c r="A120" s="99">
        <v>1122</v>
      </c>
      <c r="B120" s="119" t="s">
        <v>495</v>
      </c>
      <c r="C120" s="120">
        <v>0</v>
      </c>
      <c r="D120" s="101">
        <v>0</v>
      </c>
      <c r="E120" s="100"/>
    </row>
    <row r="121" spans="1:5" x14ac:dyDescent="0.2">
      <c r="A121" s="99">
        <v>1122</v>
      </c>
      <c r="B121" s="119" t="s">
        <v>496</v>
      </c>
      <c r="C121" s="101">
        <v>0</v>
      </c>
      <c r="D121" s="101">
        <v>0</v>
      </c>
      <c r="E121" s="100"/>
    </row>
    <row r="122" spans="1:5" x14ac:dyDescent="0.2">
      <c r="A122" s="99"/>
      <c r="B122" s="121" t="s">
        <v>497</v>
      </c>
      <c r="C122" s="104">
        <f>C47+C48+C100-C106-C109</f>
        <v>125078083.46000001</v>
      </c>
      <c r="D122" s="104">
        <f>D47+D48+D100-D106-D109</f>
        <v>52014369.039999999</v>
      </c>
      <c r="E122" s="100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4:C4"/>
    <mergeCell ref="A5:C5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20 C9 D61:D62 D52:D59 C46"/>
    <dataValidation allowBlank="1" showInputMessage="1" showErrorMessage="1" prompt="Saldo al 31 de diciembre del año anterior que se presenta" sqref="D9 D46"/>
    <dataValidation allowBlank="1" showInputMessage="1" showErrorMessage="1" prompt="Importe del trimestre anterior" sqref="D60 D51 C48:D48 C51:C62"/>
  </dataValidations>
  <pageMargins left="0.55118110236220474" right="0.31496062992125984" top="0.47244094488188981" bottom="0.70866141732283472" header="0.31496062992125984" footer="0.4"/>
  <pageSetup orientation="landscape" r:id="rId1"/>
  <headerFooter>
    <oddFooter>&amp;R&amp;8Página &amp;P de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workbookViewId="0">
      <selection sqref="A1:C5"/>
    </sheetView>
  </sheetViews>
  <sheetFormatPr baseColWidth="10" defaultColWidth="11.42578125" defaultRowHeight="11.25" x14ac:dyDescent="0.2"/>
  <cols>
    <col min="1" max="1" width="3.28515625" style="28" customWidth="1"/>
    <col min="2" max="2" width="63.140625" style="28" customWidth="1"/>
    <col min="3" max="3" width="17.7109375" style="28" customWidth="1"/>
    <col min="4" max="16384" width="11.42578125" style="28"/>
  </cols>
  <sheetData>
    <row r="1" spans="1:3" s="27" customFormat="1" ht="18" customHeight="1" x14ac:dyDescent="0.25">
      <c r="A1" s="143" t="s">
        <v>563</v>
      </c>
      <c r="B1" s="143"/>
      <c r="C1" s="143"/>
    </row>
    <row r="2" spans="1:3" s="27" customFormat="1" ht="18" customHeight="1" x14ac:dyDescent="0.25">
      <c r="A2" s="144" t="s">
        <v>564</v>
      </c>
      <c r="B2" s="144"/>
      <c r="C2" s="144"/>
    </row>
    <row r="3" spans="1:3" s="27" customFormat="1" ht="18" customHeight="1" x14ac:dyDescent="0.25">
      <c r="A3" s="144" t="s">
        <v>565</v>
      </c>
      <c r="B3" s="144"/>
      <c r="C3" s="144"/>
    </row>
    <row r="4" spans="1:3" s="27" customFormat="1" ht="18" customHeight="1" x14ac:dyDescent="0.25">
      <c r="A4" s="144" t="s">
        <v>571</v>
      </c>
      <c r="B4" s="144"/>
      <c r="C4" s="144"/>
    </row>
    <row r="5" spans="1:3" s="29" customFormat="1" ht="18" customHeight="1" x14ac:dyDescent="0.2">
      <c r="A5" s="143" t="s">
        <v>512</v>
      </c>
      <c r="B5" s="143"/>
      <c r="C5" s="143"/>
    </row>
    <row r="6" spans="1:3" x14ac:dyDescent="0.2">
      <c r="A6" s="40" t="s">
        <v>394</v>
      </c>
      <c r="B6" s="40"/>
      <c r="C6" s="129">
        <f>295550804.6+6384248.62+3105000+61061811.71+6265422.54+6437233.73</f>
        <v>378804521.20000005</v>
      </c>
    </row>
    <row r="7" spans="1:3" x14ac:dyDescent="0.2">
      <c r="A7" s="41"/>
      <c r="B7" s="42"/>
      <c r="C7" s="59"/>
    </row>
    <row r="8" spans="1:3" x14ac:dyDescent="0.2">
      <c r="A8" s="49" t="s">
        <v>395</v>
      </c>
      <c r="B8" s="49"/>
      <c r="C8" s="125">
        <f>SUM(C9:C14)</f>
        <v>0</v>
      </c>
    </row>
    <row r="9" spans="1:3" x14ac:dyDescent="0.2">
      <c r="A9" s="56" t="s">
        <v>396</v>
      </c>
      <c r="B9" s="55" t="s">
        <v>223</v>
      </c>
      <c r="C9" s="138">
        <v>0</v>
      </c>
    </row>
    <row r="10" spans="1:3" x14ac:dyDescent="0.2">
      <c r="A10" s="43" t="s">
        <v>397</v>
      </c>
      <c r="B10" s="44" t="s">
        <v>406</v>
      </c>
      <c r="C10" s="138">
        <v>0</v>
      </c>
    </row>
    <row r="11" spans="1:3" x14ac:dyDescent="0.2">
      <c r="A11" s="43" t="s">
        <v>398</v>
      </c>
      <c r="B11" s="44" t="s">
        <v>231</v>
      </c>
      <c r="C11" s="138">
        <v>0</v>
      </c>
    </row>
    <row r="12" spans="1:3" x14ac:dyDescent="0.2">
      <c r="A12" s="43" t="s">
        <v>399</v>
      </c>
      <c r="B12" s="44" t="s">
        <v>232</v>
      </c>
      <c r="C12" s="138">
        <v>0</v>
      </c>
    </row>
    <row r="13" spans="1:3" x14ac:dyDescent="0.2">
      <c r="A13" s="43" t="s">
        <v>400</v>
      </c>
      <c r="B13" s="44" t="s">
        <v>233</v>
      </c>
      <c r="C13" s="138">
        <v>0</v>
      </c>
    </row>
    <row r="14" spans="1:3" x14ac:dyDescent="0.2">
      <c r="A14" s="45" t="s">
        <v>401</v>
      </c>
      <c r="B14" s="46" t="s">
        <v>402</v>
      </c>
      <c r="C14" s="138"/>
    </row>
    <row r="15" spans="1:3" x14ac:dyDescent="0.2">
      <c r="A15" s="41"/>
      <c r="B15" s="47"/>
      <c r="C15" s="48"/>
    </row>
    <row r="16" spans="1:3" x14ac:dyDescent="0.2">
      <c r="A16" s="49" t="s">
        <v>39</v>
      </c>
      <c r="B16" s="42"/>
      <c r="C16" s="125">
        <f>SUM(C17:C19)</f>
        <v>0</v>
      </c>
    </row>
    <row r="17" spans="1:3" x14ac:dyDescent="0.2">
      <c r="A17" s="50">
        <v>3.1</v>
      </c>
      <c r="B17" s="44" t="s">
        <v>405</v>
      </c>
      <c r="C17" s="138">
        <v>0</v>
      </c>
    </row>
    <row r="18" spans="1:3" x14ac:dyDescent="0.2">
      <c r="A18" s="51">
        <v>3.2</v>
      </c>
      <c r="B18" s="44" t="s">
        <v>403</v>
      </c>
      <c r="C18" s="138">
        <v>0</v>
      </c>
    </row>
    <row r="19" spans="1:3" x14ac:dyDescent="0.2">
      <c r="A19" s="51">
        <v>3.3</v>
      </c>
      <c r="B19" s="46" t="s">
        <v>404</v>
      </c>
      <c r="C19" s="139">
        <v>0</v>
      </c>
    </row>
    <row r="20" spans="1:3" x14ac:dyDescent="0.2">
      <c r="A20" s="41"/>
      <c r="B20" s="52"/>
      <c r="C20" s="53"/>
    </row>
    <row r="21" spans="1:3" x14ac:dyDescent="0.2">
      <c r="A21" s="54" t="s">
        <v>510</v>
      </c>
      <c r="B21" s="54"/>
      <c r="C21" s="129">
        <f>C6+C8-C16</f>
        <v>378804521.20000005</v>
      </c>
    </row>
    <row r="23" spans="1:3" x14ac:dyDescent="0.2">
      <c r="B23" s="28" t="s">
        <v>475</v>
      </c>
    </row>
  </sheetData>
  <mergeCells count="5">
    <mergeCell ref="A1:C1"/>
    <mergeCell ref="A2:C2"/>
    <mergeCell ref="A4:C4"/>
    <mergeCell ref="A5:C5"/>
    <mergeCell ref="A3:C3"/>
  </mergeCells>
  <pageMargins left="0.7" right="0.7" top="0.75" bottom="0.75" header="0.3" footer="0.3"/>
  <pageSetup orientation="landscape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showGridLines="0" zoomScale="145" zoomScaleNormal="145" workbookViewId="0">
      <selection activeCell="A4" sqref="A4:C4"/>
    </sheetView>
  </sheetViews>
  <sheetFormatPr baseColWidth="10" defaultColWidth="11.42578125" defaultRowHeight="11.25" x14ac:dyDescent="0.2"/>
  <cols>
    <col min="1" max="1" width="3.7109375" style="28" customWidth="1"/>
    <col min="2" max="2" width="62.140625" style="28" customWidth="1"/>
    <col min="3" max="3" width="17.7109375" style="28" customWidth="1"/>
    <col min="4" max="16384" width="11.42578125" style="28"/>
  </cols>
  <sheetData>
    <row r="1" spans="1:3" s="30" customFormat="1" ht="18.95" customHeight="1" x14ac:dyDescent="0.25">
      <c r="A1" s="143" t="s">
        <v>563</v>
      </c>
      <c r="B1" s="143"/>
      <c r="C1" s="143"/>
    </row>
    <row r="2" spans="1:3" s="30" customFormat="1" ht="18.95" customHeight="1" x14ac:dyDescent="0.25">
      <c r="A2" s="144" t="s">
        <v>564</v>
      </c>
      <c r="B2" s="144"/>
      <c r="C2" s="144"/>
    </row>
    <row r="3" spans="1:3" s="30" customFormat="1" ht="18.95" customHeight="1" x14ac:dyDescent="0.25">
      <c r="A3" s="144" t="s">
        <v>565</v>
      </c>
      <c r="B3" s="144"/>
      <c r="C3" s="144"/>
    </row>
    <row r="4" spans="1:3" s="30" customFormat="1" ht="18.95" customHeight="1" x14ac:dyDescent="0.25">
      <c r="A4" s="144" t="s">
        <v>572</v>
      </c>
      <c r="B4" s="144"/>
      <c r="C4" s="144"/>
    </row>
    <row r="5" spans="1:3" x14ac:dyDescent="0.2">
      <c r="A5" s="143" t="s">
        <v>512</v>
      </c>
      <c r="B5" s="143"/>
      <c r="C5" s="143"/>
    </row>
    <row r="6" spans="1:3" x14ac:dyDescent="0.2">
      <c r="A6" s="64" t="s">
        <v>407</v>
      </c>
      <c r="B6" s="40"/>
      <c r="C6" s="124">
        <f>258817461.36+5998920.94+2283767.78+58264372.35+6265422.54+4862257.24</f>
        <v>336492202.21000004</v>
      </c>
    </row>
    <row r="7" spans="1:3" x14ac:dyDescent="0.2">
      <c r="A7" s="58"/>
      <c r="B7" s="42"/>
      <c r="C7" s="59"/>
    </row>
    <row r="8" spans="1:3" x14ac:dyDescent="0.2">
      <c r="A8" s="49" t="s">
        <v>408</v>
      </c>
      <c r="B8" s="60"/>
      <c r="C8" s="125">
        <f>SUM(C9:C29)</f>
        <v>81781118.219999999</v>
      </c>
    </row>
    <row r="9" spans="1:3" x14ac:dyDescent="0.2">
      <c r="A9" s="75">
        <v>2.1</v>
      </c>
      <c r="B9" s="65" t="s">
        <v>251</v>
      </c>
      <c r="C9" s="126">
        <v>0</v>
      </c>
    </row>
    <row r="10" spans="1:3" x14ac:dyDescent="0.2">
      <c r="A10" s="75">
        <v>2.2000000000000002</v>
      </c>
      <c r="B10" s="65" t="s">
        <v>248</v>
      </c>
      <c r="C10" s="126">
        <v>18892644.640000001</v>
      </c>
    </row>
    <row r="11" spans="1:3" x14ac:dyDescent="0.2">
      <c r="A11" s="70">
        <v>2.2999999999999998</v>
      </c>
      <c r="B11" s="57" t="s">
        <v>118</v>
      </c>
      <c r="C11" s="126">
        <f>2377549.1+27943.5+830851.91+56339.28</f>
        <v>3292683.79</v>
      </c>
    </row>
    <row r="12" spans="1:3" x14ac:dyDescent="0.2">
      <c r="A12" s="70">
        <v>2.4</v>
      </c>
      <c r="B12" s="57" t="s">
        <v>119</v>
      </c>
      <c r="C12" s="126">
        <f>11858.19+90759.91+64625.91</f>
        <v>167244.01</v>
      </c>
    </row>
    <row r="13" spans="1:3" x14ac:dyDescent="0.2">
      <c r="A13" s="70">
        <v>2.5</v>
      </c>
      <c r="B13" s="57" t="s">
        <v>120</v>
      </c>
      <c r="C13" s="126">
        <v>14600</v>
      </c>
    </row>
    <row r="14" spans="1:3" x14ac:dyDescent="0.2">
      <c r="A14" s="70">
        <v>2.6</v>
      </c>
      <c r="B14" s="57" t="s">
        <v>121</v>
      </c>
      <c r="C14" s="126">
        <f>14090918.44+1763892</f>
        <v>15854810.439999999</v>
      </c>
    </row>
    <row r="15" spans="1:3" x14ac:dyDescent="0.2">
      <c r="A15" s="70">
        <v>2.7</v>
      </c>
      <c r="B15" s="57" t="s">
        <v>122</v>
      </c>
      <c r="C15" s="126">
        <v>1520200.9</v>
      </c>
    </row>
    <row r="16" spans="1:3" x14ac:dyDescent="0.2">
      <c r="A16" s="70">
        <v>2.8</v>
      </c>
      <c r="B16" s="57" t="s">
        <v>123</v>
      </c>
      <c r="C16" s="126">
        <v>1531398.23</v>
      </c>
    </row>
    <row r="17" spans="1:3" x14ac:dyDescent="0.2">
      <c r="A17" s="70">
        <v>2.9</v>
      </c>
      <c r="B17" s="57" t="s">
        <v>125</v>
      </c>
      <c r="C17" s="126">
        <v>0</v>
      </c>
    </row>
    <row r="18" spans="1:3" x14ac:dyDescent="0.2">
      <c r="A18" s="70" t="s">
        <v>409</v>
      </c>
      <c r="B18" s="57" t="s">
        <v>410</v>
      </c>
      <c r="C18" s="126">
        <v>0</v>
      </c>
    </row>
    <row r="19" spans="1:3" x14ac:dyDescent="0.2">
      <c r="A19" s="70" t="s">
        <v>435</v>
      </c>
      <c r="B19" s="57" t="s">
        <v>127</v>
      </c>
      <c r="C19" s="126">
        <f>163789.03+38153.99</f>
        <v>201943.02</v>
      </c>
    </row>
    <row r="20" spans="1:3" x14ac:dyDescent="0.2">
      <c r="A20" s="70" t="s">
        <v>436</v>
      </c>
      <c r="B20" s="57" t="s">
        <v>411</v>
      </c>
      <c r="C20" s="126">
        <v>21123168.149999999</v>
      </c>
    </row>
    <row r="21" spans="1:3" x14ac:dyDescent="0.2">
      <c r="A21" s="70" t="s">
        <v>437</v>
      </c>
      <c r="B21" s="57" t="s">
        <v>412</v>
      </c>
      <c r="C21" s="126">
        <v>11534799.890000001</v>
      </c>
    </row>
    <row r="22" spans="1:3" x14ac:dyDescent="0.2">
      <c r="A22" s="70" t="s">
        <v>438</v>
      </c>
      <c r="B22" s="57" t="s">
        <v>413</v>
      </c>
      <c r="C22" s="126">
        <v>0</v>
      </c>
    </row>
    <row r="23" spans="1:3" x14ac:dyDescent="0.2">
      <c r="A23" s="70" t="s">
        <v>414</v>
      </c>
      <c r="B23" s="57" t="s">
        <v>415</v>
      </c>
      <c r="C23" s="126">
        <v>0</v>
      </c>
    </row>
    <row r="24" spans="1:3" x14ac:dyDescent="0.2">
      <c r="A24" s="70" t="s">
        <v>416</v>
      </c>
      <c r="B24" s="57" t="s">
        <v>417</v>
      </c>
      <c r="C24" s="126">
        <v>0</v>
      </c>
    </row>
    <row r="25" spans="1:3" x14ac:dyDescent="0.2">
      <c r="A25" s="70" t="s">
        <v>418</v>
      </c>
      <c r="B25" s="57" t="s">
        <v>419</v>
      </c>
      <c r="C25" s="126">
        <v>0</v>
      </c>
    </row>
    <row r="26" spans="1:3" x14ac:dyDescent="0.2">
      <c r="A26" s="70" t="s">
        <v>420</v>
      </c>
      <c r="B26" s="57" t="s">
        <v>421</v>
      </c>
      <c r="C26" s="126">
        <v>0</v>
      </c>
    </row>
    <row r="27" spans="1:3" x14ac:dyDescent="0.2">
      <c r="A27" s="70" t="s">
        <v>422</v>
      </c>
      <c r="B27" s="57" t="s">
        <v>423</v>
      </c>
      <c r="C27" s="126">
        <v>0</v>
      </c>
    </row>
    <row r="28" spans="1:3" x14ac:dyDescent="0.2">
      <c r="A28" s="70" t="s">
        <v>424</v>
      </c>
      <c r="B28" s="57" t="s">
        <v>425</v>
      </c>
      <c r="C28" s="126">
        <v>0</v>
      </c>
    </row>
    <row r="29" spans="1:3" x14ac:dyDescent="0.2">
      <c r="A29" s="70" t="s">
        <v>426</v>
      </c>
      <c r="B29" s="65" t="s">
        <v>427</v>
      </c>
      <c r="C29" s="126">
        <v>7647625.1499999994</v>
      </c>
    </row>
    <row r="30" spans="1:3" x14ac:dyDescent="0.2">
      <c r="A30" s="71"/>
      <c r="B30" s="66"/>
      <c r="C30" s="67"/>
    </row>
    <row r="31" spans="1:3" x14ac:dyDescent="0.2">
      <c r="A31" s="68" t="s">
        <v>428</v>
      </c>
      <c r="B31" s="69"/>
      <c r="C31" s="127">
        <f>SUM(C32:C36)</f>
        <v>40749491.790000066</v>
      </c>
    </row>
    <row r="32" spans="1:3" x14ac:dyDescent="0.2">
      <c r="A32" s="70" t="s">
        <v>429</v>
      </c>
      <c r="B32" s="57" t="s">
        <v>320</v>
      </c>
      <c r="C32" s="126">
        <f>26963003.05+144589.9+96970.35+816513.66+307067.5</f>
        <v>28328144.460000001</v>
      </c>
    </row>
    <row r="33" spans="1:3" x14ac:dyDescent="0.2">
      <c r="A33" s="70" t="s">
        <v>430</v>
      </c>
      <c r="B33" s="57" t="s">
        <v>37</v>
      </c>
      <c r="C33" s="126">
        <v>0</v>
      </c>
    </row>
    <row r="34" spans="1:3" x14ac:dyDescent="0.2">
      <c r="A34" s="70" t="s">
        <v>431</v>
      </c>
      <c r="B34" s="57" t="s">
        <v>330</v>
      </c>
      <c r="C34" s="126">
        <v>0</v>
      </c>
    </row>
    <row r="35" spans="1:3" x14ac:dyDescent="0.2">
      <c r="A35" s="70" t="s">
        <v>432</v>
      </c>
      <c r="B35" s="57" t="s">
        <v>336</v>
      </c>
      <c r="C35" s="126">
        <v>13.02</v>
      </c>
    </row>
    <row r="36" spans="1:3" x14ac:dyDescent="0.2">
      <c r="A36" s="70" t="s">
        <v>433</v>
      </c>
      <c r="B36" s="65" t="s">
        <v>434</v>
      </c>
      <c r="C36" s="128">
        <v>12421334.310000066</v>
      </c>
    </row>
    <row r="37" spans="1:3" x14ac:dyDescent="0.2">
      <c r="A37" s="58"/>
      <c r="B37" s="61"/>
      <c r="C37" s="62"/>
    </row>
    <row r="38" spans="1:3" x14ac:dyDescent="0.2">
      <c r="A38" s="63" t="s">
        <v>511</v>
      </c>
      <c r="B38" s="40"/>
      <c r="C38" s="129">
        <f>C6-C8+C31</f>
        <v>295460575.78000009</v>
      </c>
    </row>
    <row r="40" spans="1:3" x14ac:dyDescent="0.2">
      <c r="B40" s="28" t="s">
        <v>475</v>
      </c>
    </row>
    <row r="42" spans="1:3" x14ac:dyDescent="0.2">
      <c r="C42" s="123"/>
    </row>
    <row r="43" spans="1:3" x14ac:dyDescent="0.2">
      <c r="C43" s="122"/>
    </row>
  </sheetData>
  <mergeCells count="5">
    <mergeCell ref="A1:C1"/>
    <mergeCell ref="A2:C2"/>
    <mergeCell ref="A4:C4"/>
    <mergeCell ref="A5:C5"/>
    <mergeCell ref="A3:C3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activeCell="J23" sqref="J23"/>
    </sheetView>
  </sheetViews>
  <sheetFormatPr baseColWidth="10" defaultColWidth="9.140625" defaultRowHeight="11.25" x14ac:dyDescent="0.25"/>
  <cols>
    <col min="1" max="1" width="8.28515625" style="25" customWidth="1"/>
    <col min="2" max="2" width="46.5703125" style="25" customWidth="1"/>
    <col min="3" max="3" width="14.7109375" style="25" customWidth="1"/>
    <col min="4" max="4" width="12" style="25" customWidth="1"/>
    <col min="5" max="5" width="13" style="25" customWidth="1"/>
    <col min="6" max="6" width="16.140625" style="25" customWidth="1"/>
    <col min="7" max="7" width="12.42578125" style="25" customWidth="1"/>
    <col min="8" max="8" width="12.85546875" style="25" customWidth="1"/>
    <col min="9" max="9" width="9" style="25" customWidth="1"/>
    <col min="10" max="10" width="7.7109375" style="25" customWidth="1"/>
    <col min="11" max="16384" width="9.140625" style="25"/>
  </cols>
  <sheetData>
    <row r="1" spans="1:10" x14ac:dyDescent="0.25">
      <c r="A1" s="143" t="s">
        <v>563</v>
      </c>
      <c r="B1" s="143"/>
      <c r="C1" s="143"/>
      <c r="D1" s="143"/>
      <c r="E1" s="143"/>
      <c r="F1" s="143"/>
      <c r="G1" s="19"/>
      <c r="H1" s="20"/>
    </row>
    <row r="2" spans="1:10" x14ac:dyDescent="0.25">
      <c r="A2" s="144" t="s">
        <v>564</v>
      </c>
      <c r="B2" s="144"/>
      <c r="C2" s="144"/>
      <c r="D2" s="144"/>
      <c r="E2" s="144"/>
      <c r="F2" s="144"/>
      <c r="G2" s="19"/>
      <c r="H2" s="20"/>
    </row>
    <row r="3" spans="1:10" x14ac:dyDescent="0.25">
      <c r="A3" s="144" t="s">
        <v>565</v>
      </c>
      <c r="B3" s="144"/>
      <c r="C3" s="144"/>
      <c r="D3" s="144"/>
      <c r="E3" s="144"/>
      <c r="F3" s="144"/>
      <c r="G3" s="19" t="s">
        <v>464</v>
      </c>
      <c r="H3" s="20">
        <v>2023</v>
      </c>
    </row>
    <row r="4" spans="1:10" x14ac:dyDescent="0.25">
      <c r="A4" s="144" t="s">
        <v>573</v>
      </c>
      <c r="B4" s="144"/>
      <c r="C4" s="144"/>
      <c r="D4" s="144"/>
      <c r="E4" s="144"/>
      <c r="F4" s="144"/>
      <c r="G4" s="19" t="s">
        <v>465</v>
      </c>
      <c r="H4" s="20" t="s">
        <v>467</v>
      </c>
    </row>
    <row r="5" spans="1:10" x14ac:dyDescent="0.25">
      <c r="A5" s="143" t="s">
        <v>512</v>
      </c>
      <c r="B5" s="143"/>
      <c r="C5" s="143"/>
      <c r="D5" s="143"/>
      <c r="E5" s="143"/>
      <c r="F5" s="143"/>
      <c r="G5" s="19" t="s">
        <v>466</v>
      </c>
      <c r="H5" s="20">
        <v>4</v>
      </c>
    </row>
    <row r="6" spans="1:10" x14ac:dyDescent="0.25">
      <c r="A6" s="22" t="s">
        <v>75</v>
      </c>
      <c r="B6" s="130"/>
      <c r="C6" s="130"/>
      <c r="D6" s="130"/>
      <c r="E6" s="130"/>
      <c r="F6" s="130"/>
      <c r="G6" s="130"/>
      <c r="H6" s="130"/>
    </row>
    <row r="9" spans="1:10" ht="33.75" x14ac:dyDescent="0.25">
      <c r="A9" s="131" t="s">
        <v>45</v>
      </c>
      <c r="B9" s="131" t="s">
        <v>515</v>
      </c>
      <c r="C9" s="132" t="s">
        <v>516</v>
      </c>
      <c r="D9" s="132" t="s">
        <v>517</v>
      </c>
      <c r="E9" s="132" t="s">
        <v>518</v>
      </c>
      <c r="F9" s="131" t="s">
        <v>519</v>
      </c>
      <c r="G9" s="132" t="s">
        <v>520</v>
      </c>
      <c r="H9" s="131" t="s">
        <v>521</v>
      </c>
      <c r="I9" s="131" t="s">
        <v>522</v>
      </c>
      <c r="J9" s="132" t="s">
        <v>523</v>
      </c>
    </row>
    <row r="10" spans="1:10" s="135" customFormat="1" x14ac:dyDescent="0.25">
      <c r="A10" s="133">
        <v>7000</v>
      </c>
      <c r="B10" s="134" t="s">
        <v>524</v>
      </c>
      <c r="C10" s="134"/>
      <c r="D10" s="134"/>
      <c r="E10" s="134"/>
      <c r="F10" s="134"/>
      <c r="G10" s="134"/>
      <c r="H10" s="134"/>
      <c r="I10" s="134"/>
      <c r="J10" s="134"/>
    </row>
    <row r="11" spans="1:10" x14ac:dyDescent="0.25">
      <c r="A11" s="136">
        <v>7110</v>
      </c>
      <c r="B11" s="136" t="s">
        <v>520</v>
      </c>
      <c r="C11" s="137">
        <v>0</v>
      </c>
      <c r="D11" s="137">
        <v>0</v>
      </c>
      <c r="E11" s="137">
        <v>0</v>
      </c>
      <c r="F11" s="137">
        <f>C11+D11+E11</f>
        <v>0</v>
      </c>
      <c r="G11" s="136"/>
      <c r="H11" s="136"/>
      <c r="I11" s="136"/>
      <c r="J11" s="136"/>
    </row>
    <row r="12" spans="1:10" x14ac:dyDescent="0.25">
      <c r="A12" s="136">
        <v>7120</v>
      </c>
      <c r="B12" s="136" t="s">
        <v>525</v>
      </c>
      <c r="C12" s="137">
        <v>0</v>
      </c>
      <c r="D12" s="137">
        <v>0</v>
      </c>
      <c r="E12" s="137">
        <v>0</v>
      </c>
      <c r="F12" s="137">
        <f t="shared" ref="F12:F49" si="0">C12+D12+E12</f>
        <v>0</v>
      </c>
      <c r="G12" s="136"/>
      <c r="H12" s="136"/>
      <c r="I12" s="136"/>
      <c r="J12" s="136"/>
    </row>
    <row r="13" spans="1:10" x14ac:dyDescent="0.25">
      <c r="A13" s="136">
        <v>7130</v>
      </c>
      <c r="B13" s="136" t="s">
        <v>526</v>
      </c>
      <c r="C13" s="137">
        <v>0</v>
      </c>
      <c r="D13" s="137">
        <v>0</v>
      </c>
      <c r="E13" s="137">
        <v>0</v>
      </c>
      <c r="F13" s="137">
        <f t="shared" si="0"/>
        <v>0</v>
      </c>
      <c r="G13" s="136"/>
      <c r="H13" s="136"/>
      <c r="I13" s="136"/>
      <c r="J13" s="136"/>
    </row>
    <row r="14" spans="1:10" x14ac:dyDescent="0.25">
      <c r="A14" s="136">
        <v>7140</v>
      </c>
      <c r="B14" s="136" t="s">
        <v>527</v>
      </c>
      <c r="C14" s="137">
        <v>0</v>
      </c>
      <c r="D14" s="137">
        <v>0</v>
      </c>
      <c r="E14" s="137">
        <v>0</v>
      </c>
      <c r="F14" s="137">
        <f t="shared" si="0"/>
        <v>0</v>
      </c>
      <c r="G14" s="136"/>
      <c r="H14" s="136"/>
      <c r="I14" s="136"/>
      <c r="J14" s="136"/>
    </row>
    <row r="15" spans="1:10" x14ac:dyDescent="0.25">
      <c r="A15" s="136">
        <v>7150</v>
      </c>
      <c r="B15" s="136" t="s">
        <v>528</v>
      </c>
      <c r="C15" s="137">
        <v>0</v>
      </c>
      <c r="D15" s="137">
        <v>0</v>
      </c>
      <c r="E15" s="137">
        <v>0</v>
      </c>
      <c r="F15" s="137">
        <f t="shared" si="0"/>
        <v>0</v>
      </c>
      <c r="G15" s="136"/>
      <c r="H15" s="136"/>
      <c r="I15" s="136"/>
      <c r="J15" s="136"/>
    </row>
    <row r="16" spans="1:10" x14ac:dyDescent="0.25">
      <c r="A16" s="136">
        <v>7160</v>
      </c>
      <c r="B16" s="136" t="s">
        <v>529</v>
      </c>
      <c r="C16" s="137">
        <v>0</v>
      </c>
      <c r="D16" s="137">
        <v>0</v>
      </c>
      <c r="E16" s="137">
        <v>0</v>
      </c>
      <c r="F16" s="137">
        <f t="shared" si="0"/>
        <v>0</v>
      </c>
      <c r="G16" s="136"/>
      <c r="H16" s="136"/>
      <c r="I16" s="136"/>
      <c r="J16" s="136"/>
    </row>
    <row r="17" spans="1:10" x14ac:dyDescent="0.25">
      <c r="A17" s="136">
        <v>7210</v>
      </c>
      <c r="B17" s="136" t="s">
        <v>530</v>
      </c>
      <c r="C17" s="137">
        <v>0</v>
      </c>
      <c r="D17" s="137">
        <v>0</v>
      </c>
      <c r="E17" s="137">
        <v>0</v>
      </c>
      <c r="F17" s="137">
        <f t="shared" si="0"/>
        <v>0</v>
      </c>
      <c r="G17" s="136"/>
      <c r="H17" s="136"/>
      <c r="I17" s="136"/>
      <c r="J17" s="136"/>
    </row>
    <row r="18" spans="1:10" x14ac:dyDescent="0.25">
      <c r="A18" s="136">
        <v>7220</v>
      </c>
      <c r="B18" s="136" t="s">
        <v>531</v>
      </c>
      <c r="C18" s="137">
        <v>0</v>
      </c>
      <c r="D18" s="137">
        <v>0</v>
      </c>
      <c r="E18" s="137">
        <v>0</v>
      </c>
      <c r="F18" s="137">
        <f t="shared" si="0"/>
        <v>0</v>
      </c>
      <c r="G18" s="136"/>
      <c r="H18" s="136"/>
      <c r="I18" s="136"/>
      <c r="J18" s="136"/>
    </row>
    <row r="19" spans="1:10" x14ac:dyDescent="0.25">
      <c r="A19" s="136">
        <v>7230</v>
      </c>
      <c r="B19" s="136" t="s">
        <v>532</v>
      </c>
      <c r="C19" s="137">
        <v>0</v>
      </c>
      <c r="D19" s="137">
        <v>0</v>
      </c>
      <c r="E19" s="137">
        <v>0</v>
      </c>
      <c r="F19" s="137">
        <f t="shared" si="0"/>
        <v>0</v>
      </c>
      <c r="G19" s="136"/>
      <c r="H19" s="136"/>
      <c r="I19" s="136"/>
      <c r="J19" s="136"/>
    </row>
    <row r="20" spans="1:10" x14ac:dyDescent="0.25">
      <c r="A20" s="136">
        <v>7240</v>
      </c>
      <c r="B20" s="136" t="s">
        <v>533</v>
      </c>
      <c r="C20" s="137">
        <v>0</v>
      </c>
      <c r="D20" s="137">
        <v>0</v>
      </c>
      <c r="E20" s="137">
        <v>0</v>
      </c>
      <c r="F20" s="137">
        <f t="shared" si="0"/>
        <v>0</v>
      </c>
      <c r="G20" s="136"/>
      <c r="H20" s="136"/>
      <c r="I20" s="136"/>
      <c r="J20" s="136"/>
    </row>
    <row r="21" spans="1:10" x14ac:dyDescent="0.25">
      <c r="A21" s="136">
        <v>7250</v>
      </c>
      <c r="B21" s="136" t="s">
        <v>534</v>
      </c>
      <c r="C21" s="137">
        <v>0</v>
      </c>
      <c r="D21" s="137">
        <v>0</v>
      </c>
      <c r="E21" s="137">
        <v>0</v>
      </c>
      <c r="F21" s="137">
        <f t="shared" si="0"/>
        <v>0</v>
      </c>
      <c r="G21" s="136"/>
      <c r="H21" s="136"/>
      <c r="I21" s="136"/>
      <c r="J21" s="136"/>
    </row>
    <row r="22" spans="1:10" x14ac:dyDescent="0.25">
      <c r="A22" s="136">
        <v>7260</v>
      </c>
      <c r="B22" s="136" t="s">
        <v>535</v>
      </c>
      <c r="C22" s="137">
        <v>0</v>
      </c>
      <c r="D22" s="137">
        <v>0</v>
      </c>
      <c r="E22" s="137">
        <v>0</v>
      </c>
      <c r="F22" s="137">
        <f t="shared" si="0"/>
        <v>0</v>
      </c>
      <c r="G22" s="136"/>
      <c r="H22" s="136"/>
      <c r="I22" s="136"/>
      <c r="J22" s="136"/>
    </row>
    <row r="23" spans="1:10" x14ac:dyDescent="0.25">
      <c r="A23" s="136">
        <v>7310</v>
      </c>
      <c r="B23" s="136" t="s">
        <v>536</v>
      </c>
      <c r="C23" s="137">
        <v>0</v>
      </c>
      <c r="D23" s="137">
        <v>0</v>
      </c>
      <c r="E23" s="137">
        <v>0</v>
      </c>
      <c r="F23" s="137">
        <f t="shared" si="0"/>
        <v>0</v>
      </c>
      <c r="G23" s="136"/>
      <c r="H23" s="136"/>
      <c r="I23" s="136"/>
      <c r="J23" s="136"/>
    </row>
    <row r="24" spans="1:10" x14ac:dyDescent="0.25">
      <c r="A24" s="136">
        <v>7320</v>
      </c>
      <c r="B24" s="136" t="s">
        <v>537</v>
      </c>
      <c r="C24" s="137">
        <v>0</v>
      </c>
      <c r="D24" s="137">
        <v>0</v>
      </c>
      <c r="E24" s="137">
        <v>0</v>
      </c>
      <c r="F24" s="137">
        <f t="shared" si="0"/>
        <v>0</v>
      </c>
      <c r="G24" s="136"/>
      <c r="H24" s="136"/>
      <c r="I24" s="136"/>
      <c r="J24" s="136"/>
    </row>
    <row r="25" spans="1:10" x14ac:dyDescent="0.25">
      <c r="A25" s="136">
        <v>7330</v>
      </c>
      <c r="B25" s="136" t="s">
        <v>538</v>
      </c>
      <c r="C25" s="137">
        <v>0</v>
      </c>
      <c r="D25" s="137">
        <v>0</v>
      </c>
      <c r="E25" s="137">
        <v>0</v>
      </c>
      <c r="F25" s="137">
        <f t="shared" si="0"/>
        <v>0</v>
      </c>
      <c r="G25" s="136"/>
      <c r="H25" s="136"/>
      <c r="I25" s="136"/>
      <c r="J25" s="136"/>
    </row>
    <row r="26" spans="1:10" x14ac:dyDescent="0.25">
      <c r="A26" s="136">
        <v>7340</v>
      </c>
      <c r="B26" s="136" t="s">
        <v>539</v>
      </c>
      <c r="C26" s="137">
        <v>0</v>
      </c>
      <c r="D26" s="137">
        <v>0</v>
      </c>
      <c r="E26" s="137">
        <v>0</v>
      </c>
      <c r="F26" s="137">
        <f t="shared" si="0"/>
        <v>0</v>
      </c>
      <c r="G26" s="136"/>
      <c r="H26" s="136"/>
      <c r="I26" s="136"/>
      <c r="J26" s="136"/>
    </row>
    <row r="27" spans="1:10" x14ac:dyDescent="0.25">
      <c r="A27" s="136">
        <v>7350</v>
      </c>
      <c r="B27" s="136" t="s">
        <v>540</v>
      </c>
      <c r="C27" s="137">
        <v>0</v>
      </c>
      <c r="D27" s="137">
        <v>0</v>
      </c>
      <c r="E27" s="137">
        <v>0</v>
      </c>
      <c r="F27" s="137">
        <f t="shared" si="0"/>
        <v>0</v>
      </c>
      <c r="G27" s="136"/>
      <c r="H27" s="136"/>
      <c r="I27" s="136"/>
      <c r="J27" s="136"/>
    </row>
    <row r="28" spans="1:10" x14ac:dyDescent="0.25">
      <c r="A28" s="136">
        <v>7360</v>
      </c>
      <c r="B28" s="136" t="s">
        <v>541</v>
      </c>
      <c r="C28" s="137">
        <v>0</v>
      </c>
      <c r="D28" s="137">
        <v>0</v>
      </c>
      <c r="E28" s="137">
        <v>0</v>
      </c>
      <c r="F28" s="137">
        <f t="shared" si="0"/>
        <v>0</v>
      </c>
      <c r="G28" s="136"/>
      <c r="H28" s="136"/>
      <c r="I28" s="136"/>
      <c r="J28" s="136"/>
    </row>
    <row r="29" spans="1:10" x14ac:dyDescent="0.25">
      <c r="A29" s="136">
        <v>7410</v>
      </c>
      <c r="B29" s="136" t="s">
        <v>542</v>
      </c>
      <c r="C29" s="137">
        <v>0</v>
      </c>
      <c r="D29" s="137">
        <v>40</v>
      </c>
      <c r="E29" s="137">
        <v>-1</v>
      </c>
      <c r="F29" s="137">
        <f t="shared" si="0"/>
        <v>39</v>
      </c>
      <c r="G29" s="136"/>
      <c r="H29" s="136"/>
      <c r="I29" s="136"/>
      <c r="J29" s="136"/>
    </row>
    <row r="30" spans="1:10" x14ac:dyDescent="0.25">
      <c r="A30" s="136">
        <v>7420</v>
      </c>
      <c r="B30" s="136" t="s">
        <v>543</v>
      </c>
      <c r="C30" s="137">
        <v>0</v>
      </c>
      <c r="D30" s="137">
        <v>1</v>
      </c>
      <c r="E30" s="137">
        <v>-40</v>
      </c>
      <c r="F30" s="137">
        <f t="shared" si="0"/>
        <v>-39</v>
      </c>
      <c r="G30" s="136"/>
      <c r="H30" s="136"/>
      <c r="I30" s="136"/>
      <c r="J30" s="136"/>
    </row>
    <row r="31" spans="1:10" x14ac:dyDescent="0.25">
      <c r="A31" s="136">
        <v>7510</v>
      </c>
      <c r="B31" s="136" t="s">
        <v>544</v>
      </c>
      <c r="C31" s="137">
        <v>0</v>
      </c>
      <c r="D31" s="137">
        <v>0</v>
      </c>
      <c r="E31" s="137">
        <v>0</v>
      </c>
      <c r="F31" s="137">
        <f t="shared" si="0"/>
        <v>0</v>
      </c>
      <c r="G31" s="136"/>
      <c r="H31" s="136"/>
      <c r="I31" s="136"/>
      <c r="J31" s="136"/>
    </row>
    <row r="32" spans="1:10" x14ac:dyDescent="0.25">
      <c r="A32" s="136">
        <v>7520</v>
      </c>
      <c r="B32" s="136" t="s">
        <v>545</v>
      </c>
      <c r="C32" s="137">
        <v>0</v>
      </c>
      <c r="D32" s="137">
        <v>0</v>
      </c>
      <c r="E32" s="137">
        <v>0</v>
      </c>
      <c r="F32" s="137">
        <f t="shared" si="0"/>
        <v>0</v>
      </c>
      <c r="G32" s="136"/>
      <c r="H32" s="136"/>
      <c r="I32" s="136"/>
      <c r="J32" s="136"/>
    </row>
    <row r="33" spans="1:10" x14ac:dyDescent="0.25">
      <c r="A33" s="136">
        <v>7610</v>
      </c>
      <c r="B33" s="136" t="s">
        <v>546</v>
      </c>
      <c r="C33" s="137">
        <v>0</v>
      </c>
      <c r="D33" s="137">
        <v>0</v>
      </c>
      <c r="E33" s="137">
        <v>0</v>
      </c>
      <c r="F33" s="137">
        <f t="shared" si="0"/>
        <v>0</v>
      </c>
      <c r="G33" s="136"/>
      <c r="H33" s="136"/>
      <c r="I33" s="136"/>
      <c r="J33" s="136"/>
    </row>
    <row r="34" spans="1:10" x14ac:dyDescent="0.25">
      <c r="A34" s="136">
        <v>7620</v>
      </c>
      <c r="B34" s="136" t="s">
        <v>547</v>
      </c>
      <c r="C34" s="137">
        <v>0</v>
      </c>
      <c r="D34" s="137">
        <v>0</v>
      </c>
      <c r="E34" s="137">
        <v>0</v>
      </c>
      <c r="F34" s="137">
        <f t="shared" si="0"/>
        <v>0</v>
      </c>
      <c r="G34" s="136"/>
      <c r="H34" s="136"/>
      <c r="I34" s="136"/>
      <c r="J34" s="136"/>
    </row>
    <row r="35" spans="1:10" x14ac:dyDescent="0.25">
      <c r="A35" s="136">
        <v>7630</v>
      </c>
      <c r="B35" s="136" t="s">
        <v>548</v>
      </c>
      <c r="C35" s="137">
        <v>0</v>
      </c>
      <c r="D35" s="137">
        <v>0</v>
      </c>
      <c r="E35" s="137">
        <v>0</v>
      </c>
      <c r="F35" s="137">
        <f t="shared" si="0"/>
        <v>0</v>
      </c>
      <c r="G35" s="136"/>
      <c r="H35" s="136"/>
      <c r="I35" s="136"/>
      <c r="J35" s="136"/>
    </row>
    <row r="36" spans="1:10" x14ac:dyDescent="0.25">
      <c r="A36" s="136">
        <v>7640</v>
      </c>
      <c r="B36" s="136" t="s">
        <v>549</v>
      </c>
      <c r="C36" s="137">
        <v>0</v>
      </c>
      <c r="D36" s="137">
        <v>0</v>
      </c>
      <c r="E36" s="137">
        <v>0</v>
      </c>
      <c r="F36" s="137">
        <f t="shared" si="0"/>
        <v>0</v>
      </c>
      <c r="G36" s="136"/>
      <c r="H36" s="136"/>
      <c r="I36" s="136"/>
      <c r="J36" s="136"/>
    </row>
    <row r="37" spans="1:10" s="135" customFormat="1" x14ac:dyDescent="0.25">
      <c r="A37" s="133">
        <v>8000</v>
      </c>
      <c r="B37" s="134" t="s">
        <v>550</v>
      </c>
      <c r="C37" s="134"/>
      <c r="D37" s="134"/>
      <c r="E37" s="134"/>
      <c r="F37" s="134"/>
      <c r="G37" s="134"/>
      <c r="H37" s="134"/>
      <c r="I37" s="134"/>
      <c r="J37" s="134"/>
    </row>
    <row r="38" spans="1:10" x14ac:dyDescent="0.25">
      <c r="A38" s="136">
        <v>8110</v>
      </c>
      <c r="B38" s="136" t="s">
        <v>551</v>
      </c>
      <c r="C38" s="137">
        <v>7998600.1600000001</v>
      </c>
      <c r="D38" s="137">
        <f>248911500+6210000+61061811.71+7005000</f>
        <v>323188311.70999998</v>
      </c>
      <c r="E38" s="137">
        <f>-6210000+(-61061811.71)</f>
        <v>-67271811.710000008</v>
      </c>
      <c r="F38" s="137">
        <f t="shared" si="0"/>
        <v>263915100.16</v>
      </c>
      <c r="G38" s="136"/>
      <c r="H38" s="136"/>
      <c r="I38" s="136"/>
      <c r="J38" s="136"/>
    </row>
    <row r="39" spans="1:10" x14ac:dyDescent="0.25">
      <c r="A39" s="136">
        <v>8120</v>
      </c>
      <c r="B39" s="136" t="s">
        <v>552</v>
      </c>
      <c r="C39" s="137">
        <v>1614351.54</v>
      </c>
      <c r="D39" s="137">
        <f>296833023.86+6210000+67205705.55+6265422.54</f>
        <v>376514151.95000005</v>
      </c>
      <c r="E39" s="137">
        <f>-263743582.33+(-6210000)+(-67205705.55)+9012000</f>
        <v>-328147287.88000005</v>
      </c>
      <c r="F39" s="137">
        <f t="shared" si="0"/>
        <v>49981215.610000014</v>
      </c>
      <c r="G39" s="136"/>
      <c r="H39" s="136"/>
      <c r="I39" s="136"/>
      <c r="J39" s="136"/>
    </row>
    <row r="40" spans="1:10" x14ac:dyDescent="0.25">
      <c r="A40" s="136">
        <v>8130</v>
      </c>
      <c r="B40" s="136" t="s">
        <v>553</v>
      </c>
      <c r="C40" s="137">
        <v>0</v>
      </c>
      <c r="D40" s="137">
        <f>13549863.07+6143893.84+2007000</f>
        <v>21700756.91</v>
      </c>
      <c r="E40" s="137">
        <v>-6143893.8399999999</v>
      </c>
      <c r="F40" s="137">
        <f t="shared" si="0"/>
        <v>15556863.07</v>
      </c>
      <c r="G40" s="136"/>
      <c r="H40" s="136"/>
      <c r="I40" s="136"/>
      <c r="J40" s="136"/>
    </row>
    <row r="41" spans="1:10" x14ac:dyDescent="0.25">
      <c r="A41" s="136">
        <v>8140</v>
      </c>
      <c r="B41" s="136" t="s">
        <v>554</v>
      </c>
      <c r="C41" s="137">
        <v>6384248.6200000001</v>
      </c>
      <c r="D41" s="137">
        <f>34719762.47+(-40587)+6265422.54</f>
        <v>40944598.009999998</v>
      </c>
      <c r="E41" s="137">
        <f>-36491013.67+40587+6265422.54</f>
        <v>-30185004.130000003</v>
      </c>
      <c r="F41" s="137">
        <f t="shared" si="0"/>
        <v>17143842.499999993</v>
      </c>
      <c r="G41" s="136"/>
      <c r="H41" s="136"/>
      <c r="I41" s="136"/>
      <c r="J41" s="136"/>
    </row>
    <row r="42" spans="1:10" x14ac:dyDescent="0.25">
      <c r="A42" s="136">
        <v>8150</v>
      </c>
      <c r="B42" s="136" t="s">
        <v>555</v>
      </c>
      <c r="C42" s="137">
        <v>6384248.6200000001</v>
      </c>
      <c r="D42" s="137">
        <f>-177128696.16+5045625+22648399.47</f>
        <v>-149434671.69</v>
      </c>
      <c r="E42" s="137">
        <f>-116650857.24+(-5045625)+(-22648399.47)+6265422.54</f>
        <v>-138079459.16999999</v>
      </c>
      <c r="F42" s="137">
        <f t="shared" si="0"/>
        <v>-281129882.24000001</v>
      </c>
      <c r="G42" s="136"/>
      <c r="H42" s="136"/>
      <c r="I42" s="136"/>
      <c r="J42" s="136"/>
    </row>
    <row r="43" spans="1:10" x14ac:dyDescent="0.25">
      <c r="A43" s="136">
        <v>8210</v>
      </c>
      <c r="B43" s="136" t="s">
        <v>556</v>
      </c>
      <c r="C43" s="137">
        <v>7998600.1600000001</v>
      </c>
      <c r="D43" s="137">
        <f>7031232.22+59466555.66</f>
        <v>66497787.879999995</v>
      </c>
      <c r="E43" s="137">
        <f>-248911500+(-7031232.22)+(-59466555.66)+7005000</f>
        <v>-308404287.88</v>
      </c>
      <c r="F43" s="137">
        <f t="shared" si="0"/>
        <v>-233907899.84</v>
      </c>
      <c r="G43" s="136"/>
      <c r="H43" s="136"/>
      <c r="I43" s="136"/>
      <c r="J43" s="136"/>
    </row>
    <row r="44" spans="1:10" x14ac:dyDescent="0.25">
      <c r="A44" s="136">
        <v>8220</v>
      </c>
      <c r="B44" s="136" t="s">
        <v>557</v>
      </c>
      <c r="C44" s="137">
        <v>1855089.32</v>
      </c>
      <c r="D44" s="137">
        <f>543936983.18+10261623.85+71963141.01+10007000</f>
        <v>636168748.03999996</v>
      </c>
      <c r="E44" s="137">
        <f>-303942290.95+(-10261623.85)+(-71963141.01)+7260422.54</f>
        <v>-378906633.26999998</v>
      </c>
      <c r="F44" s="137">
        <f t="shared" si="0"/>
        <v>259117204.09000003</v>
      </c>
      <c r="G44" s="136"/>
      <c r="H44" s="136"/>
      <c r="I44" s="136"/>
      <c r="J44" s="136"/>
    </row>
    <row r="45" spans="1:10" x14ac:dyDescent="0.25">
      <c r="A45" s="136">
        <v>8230</v>
      </c>
      <c r="B45" s="136" t="s">
        <v>558</v>
      </c>
      <c r="C45" s="137">
        <v>0</v>
      </c>
      <c r="D45" s="137">
        <f>48926685.72+603000+9473730.55+995000</f>
        <v>59998416.269999996</v>
      </c>
      <c r="E45" s="137">
        <f>-298827339.31+(-603000)+(-9473730.55)+3002000</f>
        <v>-305902069.86000001</v>
      </c>
      <c r="F45" s="137">
        <f t="shared" si="0"/>
        <v>-245903653.59000003</v>
      </c>
      <c r="G45" s="136"/>
      <c r="H45" s="136"/>
      <c r="I45" s="136"/>
      <c r="J45" s="136"/>
    </row>
    <row r="46" spans="1:10" x14ac:dyDescent="0.25">
      <c r="A46" s="136">
        <v>8240</v>
      </c>
      <c r="B46" s="136" t="s">
        <v>559</v>
      </c>
      <c r="C46" s="137">
        <v>0</v>
      </c>
      <c r="D46" s="137">
        <f>227511069.96+4892674.92+60916229.35+6265422.54</f>
        <v>299585396.77000004</v>
      </c>
      <c r="E46" s="137">
        <f>-227511069.96+(-4892674.92)+(-60916229.35)+6265422.54</f>
        <v>-287054551.69</v>
      </c>
      <c r="F46" s="137">
        <f t="shared" si="0"/>
        <v>12530845.080000043</v>
      </c>
      <c r="G46" s="136"/>
      <c r="H46" s="136"/>
      <c r="I46" s="136"/>
      <c r="J46" s="136"/>
    </row>
    <row r="47" spans="1:10" x14ac:dyDescent="0.25">
      <c r="A47" s="136">
        <v>8250</v>
      </c>
      <c r="B47" s="136" t="s">
        <v>560</v>
      </c>
      <c r="C47" s="137">
        <v>6143510.8399999999</v>
      </c>
      <c r="D47" s="137">
        <f>296190276.98+5174509.62+96455214.63+6042436.54+6265422.54</f>
        <v>410127860.31000006</v>
      </c>
      <c r="E47" s="137">
        <f>-296190276.98+(-5174509.62)+(-96455214.63)+6042436.54</f>
        <v>-391777564.69</v>
      </c>
      <c r="F47" s="137">
        <f t="shared" si="0"/>
        <v>24493806.460000038</v>
      </c>
      <c r="G47" s="136"/>
      <c r="H47" s="136"/>
      <c r="I47" s="136"/>
      <c r="J47" s="136"/>
    </row>
    <row r="48" spans="1:10" x14ac:dyDescent="0.25">
      <c r="A48" s="136">
        <v>8260</v>
      </c>
      <c r="B48" s="136" t="s">
        <v>561</v>
      </c>
      <c r="C48" s="137">
        <v>6143510.8399999999</v>
      </c>
      <c r="D48" s="137">
        <f>55112423.83+794417.2+29157307.63+6042436.54</f>
        <v>91106585.200000003</v>
      </c>
      <c r="E48" s="137">
        <f>-49677985.03+(-794417.2)+(-29157307.63)+6042436.54</f>
        <v>-73587273.319999993</v>
      </c>
      <c r="F48" s="137">
        <f t="shared" si="0"/>
        <v>23662822.720000014</v>
      </c>
      <c r="G48" s="136"/>
      <c r="H48" s="136"/>
      <c r="I48" s="136"/>
      <c r="J48" s="136"/>
    </row>
    <row r="49" spans="1:10" x14ac:dyDescent="0.25">
      <c r="A49" s="136">
        <v>8270</v>
      </c>
      <c r="B49" s="136" t="s">
        <v>562</v>
      </c>
      <c r="C49" s="137">
        <v>6143510.8399999999</v>
      </c>
      <c r="D49" s="137">
        <f>75004547.19+3045754.86+26933040.35+6042436.54</f>
        <v>111025778.94000001</v>
      </c>
      <c r="E49" s="137">
        <f>178378475.37+(-3045754.86)+(-26933040.35)</f>
        <v>148399680.16</v>
      </c>
      <c r="F49" s="137">
        <f t="shared" si="0"/>
        <v>265568969.94</v>
      </c>
      <c r="G49" s="136"/>
      <c r="H49" s="136"/>
      <c r="I49" s="136"/>
      <c r="J49" s="136"/>
    </row>
    <row r="51" spans="1:10" x14ac:dyDescent="0.25">
      <c r="B51" s="25" t="s">
        <v>475</v>
      </c>
    </row>
  </sheetData>
  <mergeCells count="5">
    <mergeCell ref="A2:F2"/>
    <mergeCell ref="A3:F3"/>
    <mergeCell ref="A1:F1"/>
    <mergeCell ref="A4:F4"/>
    <mergeCell ref="A5:F5"/>
  </mergeCells>
  <pageMargins left="0.7" right="0.7" top="0.75" bottom="0.75" header="0.3" footer="0.3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Notas a los Edos Financieros</vt:lpstr>
      <vt:lpstr>ESF</vt:lpstr>
      <vt:lpstr>ACT</vt:lpstr>
      <vt:lpstr>VHP</vt:lpstr>
      <vt:lpstr>EFE</vt:lpstr>
      <vt:lpstr>Conciliacion_Ig</vt:lpstr>
      <vt:lpstr>Conciliacion_Eg</vt:lpstr>
      <vt:lpstr>Memoria</vt:lpstr>
      <vt:lpstr>ACT!Títulos_a_imprimir</vt:lpstr>
      <vt:lpstr>EFE!Títulos_a_imprimir</vt:lpstr>
      <vt:lpstr>ESF!Títulos_a_imprimir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Angélica Guadalupe González Gallardo</cp:lastModifiedBy>
  <cp:lastPrinted>2024-11-11T20:46:49Z</cp:lastPrinted>
  <dcterms:created xsi:type="dcterms:W3CDTF">2012-12-11T20:36:24Z</dcterms:created>
  <dcterms:modified xsi:type="dcterms:W3CDTF">2024-11-11T20:48:06Z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